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39E5288-70BE-4CB3-832B-39AFC8F50C2A}" xr6:coauthVersionLast="47" xr6:coauthVersionMax="47" xr10:uidLastSave="{00000000-0000-0000-0000-000000000000}"/>
  <bookViews>
    <workbookView xWindow="13935" yWindow="495" windowWidth="13380" windowHeight="14490"/>
  </bookViews>
  <sheets>
    <sheet name="Active" sheetId="3" r:id="rId1"/>
    <sheet name="A (old)" sheetId="1" r:id="rId2"/>
    <sheet name="BAV" sheetId="4" r:id="rId3"/>
  </sheets>
  <calcPr calcId="181029"/>
</workbook>
</file>

<file path=xl/calcChain.xml><?xml version="1.0" encoding="utf-8"?>
<calcChain xmlns="http://schemas.openxmlformats.org/spreadsheetml/2006/main">
  <c r="E33" i="3" l="1"/>
  <c r="F33" i="3" s="1"/>
  <c r="G33" i="3" s="1"/>
  <c r="K33" i="3" s="1"/>
  <c r="Q33" i="3"/>
  <c r="E34" i="3"/>
  <c r="F34" i="3"/>
  <c r="G34" i="3" s="1"/>
  <c r="K34" i="3" s="1"/>
  <c r="Q34" i="3"/>
  <c r="E35" i="3"/>
  <c r="F35" i="3"/>
  <c r="G35" i="3" s="1"/>
  <c r="K35" i="3" s="1"/>
  <c r="Q35" i="3"/>
  <c r="E36" i="3"/>
  <c r="F36" i="3"/>
  <c r="G36" i="3" s="1"/>
  <c r="K36" i="3" s="1"/>
  <c r="Q36" i="3"/>
  <c r="E26" i="3"/>
  <c r="F26" i="3"/>
  <c r="G26" i="3"/>
  <c r="K26" i="3"/>
  <c r="E27" i="3"/>
  <c r="F27" i="3"/>
  <c r="G27" i="3"/>
  <c r="K27" i="3"/>
  <c r="E28" i="3"/>
  <c r="F28" i="3"/>
  <c r="G28" i="3"/>
  <c r="K28" i="3"/>
  <c r="E29" i="3"/>
  <c r="F29" i="3"/>
  <c r="G29" i="3"/>
  <c r="K29" i="3"/>
  <c r="E30" i="3"/>
  <c r="F30" i="3"/>
  <c r="G30" i="3"/>
  <c r="J30" i="3"/>
  <c r="E32" i="3"/>
  <c r="F32" i="3"/>
  <c r="G32" i="3"/>
  <c r="K32" i="3"/>
  <c r="E31" i="3"/>
  <c r="F31" i="3"/>
  <c r="G31" i="3"/>
  <c r="K31" i="3"/>
  <c r="D9" i="3"/>
  <c r="C9" i="3"/>
  <c r="E23" i="3"/>
  <c r="F23" i="3"/>
  <c r="G23" i="3"/>
  <c r="J23" i="3"/>
  <c r="E24" i="3"/>
  <c r="F24" i="3"/>
  <c r="G24" i="3"/>
  <c r="J24" i="3"/>
  <c r="E25" i="3"/>
  <c r="F25" i="3"/>
  <c r="G25" i="3"/>
  <c r="J25" i="3"/>
  <c r="Q32" i="3"/>
  <c r="Q31" i="3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12" i="4"/>
  <c r="C12" i="4"/>
  <c r="E12" i="4"/>
  <c r="E22" i="3"/>
  <c r="G11" i="4"/>
  <c r="C11" i="4"/>
  <c r="E11" i="4"/>
  <c r="E21" i="3"/>
  <c r="H20" i="4"/>
  <c r="D20" i="4"/>
  <c r="B20" i="4"/>
  <c r="A20" i="4"/>
  <c r="H19" i="4"/>
  <c r="B19" i="4"/>
  <c r="D19" i="4"/>
  <c r="A19" i="4"/>
  <c r="H18" i="4"/>
  <c r="D18" i="4"/>
  <c r="B18" i="4"/>
  <c r="A18" i="4"/>
  <c r="H17" i="4"/>
  <c r="B17" i="4"/>
  <c r="D17" i="4"/>
  <c r="A1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Q26" i="3"/>
  <c r="Q27" i="3"/>
  <c r="Q28" i="3"/>
  <c r="Q30" i="3"/>
  <c r="F21" i="3"/>
  <c r="G21" i="3"/>
  <c r="J21" i="3"/>
  <c r="F22" i="3"/>
  <c r="G22" i="3"/>
  <c r="J22" i="3"/>
  <c r="F16" i="3"/>
  <c r="C17" i="3"/>
  <c r="Q21" i="3"/>
  <c r="Q22" i="3"/>
  <c r="Q23" i="3"/>
  <c r="Q24" i="3"/>
  <c r="Q25" i="3"/>
  <c r="Q29" i="3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G11" i="1"/>
  <c r="F11" i="1"/>
  <c r="Q21" i="1"/>
  <c r="Q22" i="1"/>
  <c r="Q23" i="1"/>
  <c r="Q24" i="1"/>
  <c r="Q25" i="1"/>
  <c r="Q26" i="1"/>
  <c r="E14" i="1"/>
  <c r="C17" i="1"/>
  <c r="C12" i="3"/>
  <c r="C11" i="3"/>
  <c r="C12" i="1"/>
  <c r="O35" i="3" l="1"/>
  <c r="O34" i="3"/>
  <c r="O33" i="3"/>
  <c r="O36" i="3"/>
  <c r="C16" i="1"/>
  <c r="D18" i="1" s="1"/>
  <c r="O27" i="3"/>
  <c r="O31" i="3"/>
  <c r="O28" i="3"/>
  <c r="O24" i="3"/>
  <c r="O30" i="3"/>
  <c r="O25" i="3"/>
  <c r="O26" i="3"/>
  <c r="C15" i="3"/>
  <c r="F18" i="3" s="1"/>
  <c r="O22" i="3"/>
  <c r="O32" i="3"/>
  <c r="O21" i="3"/>
  <c r="O23" i="3"/>
  <c r="O29" i="3"/>
  <c r="C16" i="3"/>
  <c r="D18" i="3" s="1"/>
  <c r="E15" i="1"/>
  <c r="F17" i="3"/>
  <c r="C11" i="1"/>
  <c r="O22" i="1" l="1"/>
  <c r="C15" i="1"/>
  <c r="O23" i="1"/>
  <c r="O24" i="1"/>
  <c r="O26" i="1"/>
  <c r="O21" i="1"/>
  <c r="O25" i="1"/>
  <c r="F19" i="3"/>
  <c r="C18" i="3"/>
  <c r="C18" i="1" l="1"/>
  <c r="E16" i="1"/>
  <c r="E17" i="1" s="1"/>
</calcChain>
</file>

<file path=xl/sharedStrings.xml><?xml version="1.0" encoding="utf-8"?>
<sst xmlns="http://schemas.openxmlformats.org/spreadsheetml/2006/main" count="245" uniqueCount="123">
  <si>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</si>
  <si>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</si>
  <si>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</si>
  <si>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</si>
  <si>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</si>
  <si>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</si>
  <si>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</si>
  <si>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</si>
  <si>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</si>
  <si>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</si>
  <si>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</si>
  <si>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</si>
  <si>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</si>
  <si>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</si>
  <si>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</si>
  <si>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</si>
  <si>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</si>
  <si>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</si>
  <si>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</si>
  <si>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</si>
  <si>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</si>
  <si>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</si>
  <si>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</si>
  <si>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</si>
  <si>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</si>
  <si>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</si>
  <si>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</si>
  <si>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</si>
  <si>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</si>
  <si>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</si>
  <si>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</si>
  <si>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</si>
  <si>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</si>
  <si>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</si>
  <si>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</si>
  <si>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</si>
  <si>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</si>
  <si>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</si>
  <si>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</si>
  <si>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</si>
  <si>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</si>
  <si>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</si>
  <si>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</si>
  <si>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HY Lyr / na</t>
  </si>
  <si>
    <t>EB/KE</t>
  </si>
  <si>
    <t>IBVS 5731</t>
  </si>
  <si>
    <t>I</t>
  </si>
  <si>
    <t>IBVS 6010</t>
  </si>
  <si>
    <t>.0016</t>
  </si>
  <si>
    <t>.0015</t>
  </si>
  <si>
    <t>.0008</t>
  </si>
  <si>
    <t>IBVS 6033</t>
  </si>
  <si>
    <t>II</t>
  </si>
  <si>
    <t>S2</t>
  </si>
  <si>
    <t>from ToMcat 2013-03-15</t>
  </si>
  <si>
    <t>OEJV 0160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</si>
  <si>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</si>
  <si>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</si>
  <si>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</si>
  <si>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</si>
  <si>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</si>
  <si>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</si>
  <si>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</si>
  <si>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</si>
  <si>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</si>
  <si>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</si>
  <si>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</si>
  <si>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</si>
  <si>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2453861.3563 </t>
  </si>
  <si>
    <t> 05.05.2006 20:33 </t>
  </si>
  <si>
    <t> 0.0482 </t>
  </si>
  <si>
    <t>C </t>
  </si>
  <si>
    <t>-I</t>
  </si>
  <si>
    <t> P.Frank </t>
  </si>
  <si>
    <t>BAVM 178 </t>
  </si>
  <si>
    <t>2453861.5461 </t>
  </si>
  <si>
    <t> 06.05.2006 01:06 </t>
  </si>
  <si>
    <t>3006</t>
  </si>
  <si>
    <t> 0.0117 </t>
  </si>
  <si>
    <t>2455670.5209 </t>
  </si>
  <si>
    <t> 19.04.2011 00:30 </t>
  </si>
  <si>
    <t>7771.5</t>
  </si>
  <si>
    <t> -348.6459 </t>
  </si>
  <si>
    <t> F.Agerer </t>
  </si>
  <si>
    <t>BAVM 220 </t>
  </si>
  <si>
    <t>2455673.4733 </t>
  </si>
  <si>
    <t> 21.04.2011 23:21 </t>
  </si>
  <si>
    <t>7778</t>
  </si>
  <si>
    <t> -348.6364 </t>
  </si>
  <si>
    <t>2455705.4000 </t>
  </si>
  <si>
    <t> 23.05.2011 21:36 </t>
  </si>
  <si>
    <t>7848.5</t>
  </si>
  <si>
    <t> -348.6294 </t>
  </si>
  <si>
    <t>2455707.42985 </t>
  </si>
  <si>
    <t> 25.05.2011 22:18 </t>
  </si>
  <si>
    <t>7853</t>
  </si>
  <si>
    <t> -348.63697 </t>
  </si>
  <si>
    <t> V.Pribik </t>
  </si>
  <si>
    <t>OEJV 0160 </t>
  </si>
  <si>
    <t>2455724.40771 </t>
  </si>
  <si>
    <t> 11.06.2011 21:47 </t>
  </si>
  <si>
    <t>7890.5</t>
  </si>
  <si>
    <t> -348.63764 </t>
  </si>
  <si>
    <t> M.Audejean </t>
  </si>
  <si>
    <t>2455749.50725 </t>
  </si>
  <si>
    <t> 07.07.2011 00:10 </t>
  </si>
  <si>
    <t>7946</t>
  </si>
  <si>
    <t> -348.66634 </t>
  </si>
  <si>
    <t>2455825.3577 </t>
  </si>
  <si>
    <t> 20.09.2011 20:35 </t>
  </si>
  <si>
    <t>8113.5</t>
  </si>
  <si>
    <t> -348.6533 </t>
  </si>
  <si>
    <t> M.Banfi </t>
  </si>
  <si>
    <t>IBVS 6033 </t>
  </si>
  <si>
    <t>2456062.5070 </t>
  </si>
  <si>
    <t> 15.05.2012 00:10 </t>
  </si>
  <si>
    <t>8637</t>
  </si>
  <si>
    <t> -348.5244 </t>
  </si>
  <si>
    <t>BAVM 231 </t>
  </si>
  <si>
    <t>IBVS 6196</t>
  </si>
  <si>
    <t>0.0005</t>
  </si>
  <si>
    <t>0.0010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</si>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</sst>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Lyr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3-4CD2-BFC5-13206A6F83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3-4CD2-BFC5-13206A6F83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1">
                  <c:v>5.2500000019790605E-3</c:v>
                </c:pt>
                <c:pt idx="2">
                  <c:v>2.0950000005541369E-2</c:v>
                </c:pt>
                <c:pt idx="3">
                  <c:v>2.0550000001094304E-2</c:v>
                </c:pt>
                <c:pt idx="4">
                  <c:v>2.0100000001548324E-2</c:v>
                </c:pt>
                <c:pt idx="9">
                  <c:v>2.2850000001199078E-2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73-4CD2-BFC5-13206A6F83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5">
                  <c:v>1.9899999999324791E-2</c:v>
                </c:pt>
                <c:pt idx="6">
                  <c:v>1.9160000003466848E-2</c:v>
                </c:pt>
                <c:pt idx="7">
                  <c:v>1.9900000006600749E-2</c:v>
                </c:pt>
                <c:pt idx="8">
                  <c:v>2.0300000003771856E-2</c:v>
                </c:pt>
                <c:pt idx="10">
                  <c:v>2.2949999998672865E-2</c:v>
                </c:pt>
                <c:pt idx="11">
                  <c:v>2.3099999998521525E-2</c:v>
                </c:pt>
                <c:pt idx="12">
                  <c:v>2.6899999866145663E-2</c:v>
                </c:pt>
                <c:pt idx="13">
                  <c:v>2.7400000035413541E-2</c:v>
                </c:pt>
                <c:pt idx="14">
                  <c:v>2.6799999926879536E-2</c:v>
                </c:pt>
                <c:pt idx="15">
                  <c:v>2.575000021897722E-2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73-4CD2-BFC5-13206A6F83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73-4CD2-BFC5-13206A6F83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73-4CD2-BFC5-13206A6F83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8.0000000000000004E-4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2.5000000000000001E-3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73-4CD2-BFC5-13206A6F83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1.7503293035715926E-2</c:v>
                </c:pt>
                <c:pt idx="1">
                  <c:v>1.7503576951837355E-2</c:v>
                </c:pt>
                <c:pt idx="2">
                  <c:v>2.0286522774074337E-2</c:v>
                </c:pt>
                <c:pt idx="3">
                  <c:v>2.0291065432017186E-2</c:v>
                </c:pt>
                <c:pt idx="4">
                  <c:v>2.0340182921024224E-2</c:v>
                </c:pt>
                <c:pt idx="5">
                  <c:v>2.0343305998359932E-2</c:v>
                </c:pt>
                <c:pt idx="6">
                  <c:v>2.0369426281531305E-2</c:v>
                </c:pt>
                <c:pt idx="7">
                  <c:v>2.0408038874045509E-2</c:v>
                </c:pt>
                <c:pt idx="8">
                  <c:v>2.0524728399952407E-2</c:v>
                </c:pt>
                <c:pt idx="9">
                  <c:v>2.0889560615987353E-2</c:v>
                </c:pt>
                <c:pt idx="10">
                  <c:v>2.3126251820596917E-2</c:v>
                </c:pt>
                <c:pt idx="11">
                  <c:v>2.3126535736718343E-2</c:v>
                </c:pt>
                <c:pt idx="12">
                  <c:v>2.6721481666239326E-2</c:v>
                </c:pt>
                <c:pt idx="13">
                  <c:v>2.6726024324182175E-2</c:v>
                </c:pt>
                <c:pt idx="14">
                  <c:v>2.6727727820910742E-2</c:v>
                </c:pt>
                <c:pt idx="15">
                  <c:v>2.6729147401517883E-2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73-4CD2-BFC5-13206A6F83D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4901.5</c:v>
                </c:pt>
                <c:pt idx="3">
                  <c:v>4909.5</c:v>
                </c:pt>
                <c:pt idx="4">
                  <c:v>4996</c:v>
                </c:pt>
                <c:pt idx="5">
                  <c:v>5001.5</c:v>
                </c:pt>
                <c:pt idx="6">
                  <c:v>5047.5</c:v>
                </c:pt>
                <c:pt idx="7">
                  <c:v>5115.5</c:v>
                </c:pt>
                <c:pt idx="8">
                  <c:v>5321</c:v>
                </c:pt>
                <c:pt idx="9">
                  <c:v>5963.5</c:v>
                </c:pt>
                <c:pt idx="10">
                  <c:v>9902.5</c:v>
                </c:pt>
                <c:pt idx="11">
                  <c:v>9903</c:v>
                </c:pt>
                <c:pt idx="12">
                  <c:v>16234</c:v>
                </c:pt>
                <c:pt idx="13">
                  <c:v>16242</c:v>
                </c:pt>
                <c:pt idx="14">
                  <c:v>16245</c:v>
                </c:pt>
                <c:pt idx="15">
                  <c:v>16247.5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73-4CD2-BFC5-13206A6F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94696"/>
        <c:axId val="1"/>
      </c:scatterChart>
      <c:valAx>
        <c:axId val="548394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94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Lyr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-9.0199999998731073E-2</c:v>
                </c:pt>
                <c:pt idx="2">
                  <c:v>8.4600000001955777E-2</c:v>
                </c:pt>
                <c:pt idx="3">
                  <c:v>-4.3000000005122274E-2</c:v>
                </c:pt>
                <c:pt idx="4">
                  <c:v>-3.6299999999755528E-2</c:v>
                </c:pt>
                <c:pt idx="5">
                  <c:v>8.1400000002759043E-2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6-47CF-A5CD-E17343E23E7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F6-47CF-A5CD-E17343E23E7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F6-47CF-A5CD-E17343E23E7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F6-47CF-A5CD-E17343E23E7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F6-47CF-A5CD-E17343E23E7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F6-47CF-A5CD-E17343E23E7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2.8999999999999998E-3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F6-47CF-A5CD-E17343E23E7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-4.6831727958274713E-2</c:v>
                </c:pt>
                <c:pt idx="1">
                  <c:v>-4.6821270041347347E-2</c:v>
                </c:pt>
                <c:pt idx="2">
                  <c:v>2.0736873309443057E-2</c:v>
                </c:pt>
                <c:pt idx="3">
                  <c:v>2.0851910395644088E-2</c:v>
                </c:pt>
                <c:pt idx="4">
                  <c:v>2.2044112925363915E-2</c:v>
                </c:pt>
                <c:pt idx="5">
                  <c:v>2.6520101370276966E-2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F6-47CF-A5CD-E17343E23E79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3230.5</c:v>
                </c:pt>
                <c:pt idx="3">
                  <c:v>3236</c:v>
                </c:pt>
                <c:pt idx="4">
                  <c:v>3293</c:v>
                </c:pt>
                <c:pt idx="5">
                  <c:v>3507</c:v>
                </c:pt>
              </c:numCache>
            </c:numRef>
          </c:xVal>
          <c:yVal>
            <c:numRef>
              <c:f>'A (old)'!$R$21:$R$998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F6-47CF-A5CD-E17343E23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392896"/>
        <c:axId val="1"/>
      </c:scatterChart>
      <c:valAx>
        <c:axId val="54839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392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8C203CF3-F734-E7CF-6087-C3ED379CD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418F4F-E3D9-AE4F-36F1-D190221AE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220" TargetMode="External"/><Relationship Id="rId9" Type="http://schemas.openxmlformats.org/officeDocument/2006/relationships/hyperlink" Target="http://www.konkoly.hu/cgi-bin/IBVS?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24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8" t="s">
        <v>41</v>
      </c>
      <c r="D4" s="29" t="s">
        <v>41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31">
        <v>53861.356299999999</v>
      </c>
      <c r="D7" s="36" t="s">
        <v>54</v>
      </c>
    </row>
    <row r="8" spans="1:6" x14ac:dyDescent="0.2">
      <c r="A8" t="s">
        <v>3</v>
      </c>
      <c r="C8" s="8">
        <v>0.36909999999999998</v>
      </c>
      <c r="D8" s="30" t="s">
        <v>42</v>
      </c>
    </row>
    <row r="9" spans="1:6" x14ac:dyDescent="0.2">
      <c r="A9" s="25" t="s">
        <v>36</v>
      </c>
      <c r="B9" s="26">
        <v>23</v>
      </c>
      <c r="C9" s="23" t="str">
        <f>"F"&amp;B9</f>
        <v>F23</v>
      </c>
      <c r="D9" s="24" t="str">
        <f>"G"&amp;B9</f>
        <v>G23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2">
        <f ca="1">INTERCEPT(INDIRECT($D$9):G991,INDIRECT($C$9):F991)</f>
        <v>1.7503293035715926E-2</v>
      </c>
      <c r="D11" s="3"/>
      <c r="E11" s="10"/>
    </row>
    <row r="12" spans="1:6" x14ac:dyDescent="0.2">
      <c r="A12" s="10" t="s">
        <v>16</v>
      </c>
      <c r="B12" s="10"/>
      <c r="C12" s="22">
        <f ca="1">SLOPE(INDIRECT($D$9):G991,INDIRECT($C$9):F991)</f>
        <v>5.6783224285594443E-7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59858.150728863482</v>
      </c>
      <c r="E15" s="14" t="s">
        <v>38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0.36910056783224282</v>
      </c>
      <c r="E16" s="14" t="s">
        <v>33</v>
      </c>
      <c r="F16" s="15">
        <f ca="1">NOW()+15018.5+$C$5/24</f>
        <v>60178.731578703701</v>
      </c>
    </row>
    <row r="17" spans="1:21" ht="13.5" thickBot="1" x14ac:dyDescent="0.25">
      <c r="A17" s="14" t="s">
        <v>30</v>
      </c>
      <c r="B17" s="10"/>
      <c r="C17" s="10">
        <f>COUNT(C21:C2190)</f>
        <v>16</v>
      </c>
      <c r="E17" s="14" t="s">
        <v>39</v>
      </c>
      <c r="F17" s="15">
        <f ca="1">ROUND(2*(F16-$C$7)/$C$8,0)/2+F15</f>
        <v>17116.5</v>
      </c>
    </row>
    <row r="18" spans="1:21" ht="14.25" thickTop="1" thickBot="1" x14ac:dyDescent="0.25">
      <c r="A18" s="16" t="s">
        <v>5</v>
      </c>
      <c r="B18" s="10"/>
      <c r="C18" s="19">
        <f ca="1">+C15</f>
        <v>59858.150728863482</v>
      </c>
      <c r="D18" s="20">
        <f ca="1">+C16</f>
        <v>0.36910056783224282</v>
      </c>
      <c r="E18" s="14" t="s">
        <v>40</v>
      </c>
      <c r="F18" s="24">
        <f ca="1">ROUND(2*(F16-$C$15)/$C$16,0)/2+F15</f>
        <v>869.5</v>
      </c>
    </row>
    <row r="19" spans="1:21" ht="13.5" thickTop="1" x14ac:dyDescent="0.2">
      <c r="E19" s="14" t="s">
        <v>34</v>
      </c>
      <c r="F19" s="18">
        <f ca="1">+$C$15+$C$16*F18-15018.5-$C$5/24</f>
        <v>45160.979505926953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64</v>
      </c>
      <c r="I20" s="7" t="s">
        <v>67</v>
      </c>
      <c r="J20" s="7" t="s">
        <v>61</v>
      </c>
      <c r="K20" s="7" t="s">
        <v>59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U20" s="27" t="s">
        <v>37</v>
      </c>
    </row>
    <row r="21" spans="1:21" x14ac:dyDescent="0.2">
      <c r="A21" s="37" t="s">
        <v>45</v>
      </c>
      <c r="B21" s="38" t="s">
        <v>46</v>
      </c>
      <c r="C21" s="37">
        <v>53861.356299999999</v>
      </c>
      <c r="D21" s="37">
        <v>2.8999999999999998E-3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J21">
        <f>+G21</f>
        <v>0</v>
      </c>
      <c r="O21">
        <f t="shared" ref="O21:O32" ca="1" si="3">+C$11+C$12*$F21</f>
        <v>1.7503293035715926E-2</v>
      </c>
      <c r="Q21" s="2">
        <f t="shared" ref="Q21:Q32" si="4">+C21-15018.5</f>
        <v>38842.856299999999</v>
      </c>
    </row>
    <row r="22" spans="1:21" x14ac:dyDescent="0.2">
      <c r="A22" s="37" t="s">
        <v>45</v>
      </c>
      <c r="B22" s="38" t="s">
        <v>46</v>
      </c>
      <c r="C22" s="37">
        <v>53861.5461</v>
      </c>
      <c r="D22" s="37">
        <v>1.6000000000000001E-3</v>
      </c>
      <c r="E22">
        <f t="shared" si="0"/>
        <v>0.51422378759172249</v>
      </c>
      <c r="F22">
        <f t="shared" si="1"/>
        <v>0.5</v>
      </c>
      <c r="G22">
        <f t="shared" si="2"/>
        <v>5.2500000019790605E-3</v>
      </c>
      <c r="J22">
        <f>+G22</f>
        <v>5.2500000019790605E-3</v>
      </c>
      <c r="O22">
        <f t="shared" ca="1" si="3"/>
        <v>1.7503576951837355E-2</v>
      </c>
      <c r="Q22" s="2">
        <f t="shared" si="4"/>
        <v>38843.0461</v>
      </c>
    </row>
    <row r="23" spans="1:21" x14ac:dyDescent="0.2">
      <c r="A23" s="37" t="s">
        <v>47</v>
      </c>
      <c r="B23" s="38" t="s">
        <v>46</v>
      </c>
      <c r="C23" s="37">
        <v>55670.520900000003</v>
      </c>
      <c r="D23" s="37">
        <v>1.6000000000000001E-3</v>
      </c>
      <c r="E23">
        <f t="shared" si="0"/>
        <v>4901.5567596857327</v>
      </c>
      <c r="F23">
        <f t="shared" si="1"/>
        <v>4901.5</v>
      </c>
      <c r="G23">
        <f t="shared" si="2"/>
        <v>2.0950000005541369E-2</v>
      </c>
      <c r="J23">
        <f>+G23</f>
        <v>2.0950000005541369E-2</v>
      </c>
      <c r="O23">
        <f t="shared" ca="1" si="3"/>
        <v>2.0286522774074337E-2</v>
      </c>
      <c r="Q23" s="2">
        <f t="shared" si="4"/>
        <v>40652.020900000003</v>
      </c>
    </row>
    <row r="24" spans="1:21" x14ac:dyDescent="0.2">
      <c r="A24" s="37" t="s">
        <v>47</v>
      </c>
      <c r="B24" s="38" t="s">
        <v>46</v>
      </c>
      <c r="C24" s="37">
        <v>55673.473299999998</v>
      </c>
      <c r="D24" s="37">
        <v>1.5E-3</v>
      </c>
      <c r="E24">
        <f t="shared" si="0"/>
        <v>4909.5556759685678</v>
      </c>
      <c r="F24">
        <f t="shared" si="1"/>
        <v>4909.5</v>
      </c>
      <c r="G24">
        <f t="shared" si="2"/>
        <v>2.0550000001094304E-2</v>
      </c>
      <c r="J24">
        <f>+G24</f>
        <v>2.0550000001094304E-2</v>
      </c>
      <c r="O24">
        <f t="shared" ca="1" si="3"/>
        <v>2.0291065432017186E-2</v>
      </c>
      <c r="Q24" s="2">
        <f t="shared" si="4"/>
        <v>40654.973299999998</v>
      </c>
    </row>
    <row r="25" spans="1:21" x14ac:dyDescent="0.2">
      <c r="A25" s="37" t="s">
        <v>47</v>
      </c>
      <c r="B25" s="38" t="s">
        <v>46</v>
      </c>
      <c r="C25" s="37">
        <v>55705.4</v>
      </c>
      <c r="D25" s="37">
        <v>8.0000000000000004E-4</v>
      </c>
      <c r="E25">
        <f t="shared" si="0"/>
        <v>4996.0544567867846</v>
      </c>
      <c r="F25">
        <f t="shared" si="1"/>
        <v>4996</v>
      </c>
      <c r="G25">
        <f t="shared" si="2"/>
        <v>2.0100000001548324E-2</v>
      </c>
      <c r="J25">
        <f>+G25</f>
        <v>2.0100000001548324E-2</v>
      </c>
      <c r="O25">
        <f t="shared" ca="1" si="3"/>
        <v>2.0340182921024224E-2</v>
      </c>
      <c r="Q25" s="2">
        <f t="shared" si="4"/>
        <v>40686.9</v>
      </c>
    </row>
    <row r="26" spans="1:21" x14ac:dyDescent="0.2">
      <c r="A26" s="55" t="s">
        <v>55</v>
      </c>
      <c r="B26" s="56" t="s">
        <v>46</v>
      </c>
      <c r="C26" s="57">
        <v>55707.42985</v>
      </c>
      <c r="D26" s="57">
        <v>1E-3</v>
      </c>
      <c r="E26">
        <f t="shared" si="0"/>
        <v>5001.5539149282067</v>
      </c>
      <c r="F26">
        <f t="shared" si="1"/>
        <v>5001.5</v>
      </c>
      <c r="G26">
        <f t="shared" si="2"/>
        <v>1.9899999999324791E-2</v>
      </c>
      <c r="K26">
        <f>+G26</f>
        <v>1.9899999999324791E-2</v>
      </c>
      <c r="O26">
        <f t="shared" ca="1" si="3"/>
        <v>2.0343305998359932E-2</v>
      </c>
      <c r="Q26" s="2">
        <f t="shared" si="4"/>
        <v>40688.92985</v>
      </c>
    </row>
    <row r="27" spans="1:21" x14ac:dyDescent="0.2">
      <c r="A27" s="55" t="s">
        <v>55</v>
      </c>
      <c r="B27" s="56" t="s">
        <v>46</v>
      </c>
      <c r="C27" s="57">
        <v>55724.407709999999</v>
      </c>
      <c r="D27" s="57">
        <v>1E-3</v>
      </c>
      <c r="E27">
        <f t="shared" si="0"/>
        <v>5047.5519100514766</v>
      </c>
      <c r="F27">
        <f t="shared" si="1"/>
        <v>5047.5</v>
      </c>
      <c r="G27">
        <f t="shared" si="2"/>
        <v>1.9160000003466848E-2</v>
      </c>
      <c r="K27">
        <f>+G27</f>
        <v>1.9160000003466848E-2</v>
      </c>
      <c r="O27">
        <f t="shared" ca="1" si="3"/>
        <v>2.0369426281531305E-2</v>
      </c>
      <c r="Q27" s="2">
        <f t="shared" si="4"/>
        <v>40705.907709999999</v>
      </c>
    </row>
    <row r="28" spans="1:21" x14ac:dyDescent="0.2">
      <c r="A28" s="55" t="s">
        <v>55</v>
      </c>
      <c r="B28" s="56" t="s">
        <v>46</v>
      </c>
      <c r="C28" s="57">
        <v>55749.507250000002</v>
      </c>
      <c r="D28" s="57">
        <v>5.0000000000000001E-4</v>
      </c>
      <c r="E28">
        <f t="shared" si="0"/>
        <v>5115.5539149282122</v>
      </c>
      <c r="F28">
        <f t="shared" si="1"/>
        <v>5115.5</v>
      </c>
      <c r="G28">
        <f t="shared" si="2"/>
        <v>1.9900000006600749E-2</v>
      </c>
      <c r="K28">
        <f>+G28</f>
        <v>1.9900000006600749E-2</v>
      </c>
      <c r="O28">
        <f t="shared" ca="1" si="3"/>
        <v>2.0408038874045509E-2</v>
      </c>
      <c r="Q28" s="2">
        <f t="shared" si="4"/>
        <v>40731.007250000002</v>
      </c>
    </row>
    <row r="29" spans="1:21" x14ac:dyDescent="0.2">
      <c r="A29" s="39" t="s">
        <v>51</v>
      </c>
      <c r="B29" s="40" t="s">
        <v>52</v>
      </c>
      <c r="C29" s="41">
        <v>55825.3577</v>
      </c>
      <c r="D29" s="41">
        <v>8.0000000000000004E-4</v>
      </c>
      <c r="E29">
        <f t="shared" si="0"/>
        <v>5321.0549986453561</v>
      </c>
      <c r="F29">
        <f t="shared" si="1"/>
        <v>5321</v>
      </c>
      <c r="G29">
        <f t="shared" si="2"/>
        <v>2.0300000003771856E-2</v>
      </c>
      <c r="K29">
        <f>+G29</f>
        <v>2.0300000003771856E-2</v>
      </c>
      <c r="O29">
        <f t="shared" ca="1" si="3"/>
        <v>2.0524728399952407E-2</v>
      </c>
      <c r="Q29" s="2">
        <f t="shared" si="4"/>
        <v>40806.8577</v>
      </c>
    </row>
    <row r="30" spans="1:21" x14ac:dyDescent="0.2">
      <c r="A30" s="55" t="s">
        <v>56</v>
      </c>
      <c r="B30" s="56" t="s">
        <v>46</v>
      </c>
      <c r="C30" s="57">
        <v>56062.506999999998</v>
      </c>
      <c r="D30" s="57">
        <v>2.5000000000000001E-3</v>
      </c>
      <c r="E30">
        <f t="shared" si="0"/>
        <v>5963.5619073421794</v>
      </c>
      <c r="F30">
        <f t="shared" si="1"/>
        <v>5963.5</v>
      </c>
      <c r="G30">
        <f t="shared" si="2"/>
        <v>2.2850000001199078E-2</v>
      </c>
      <c r="J30">
        <f>+G30</f>
        <v>2.2850000001199078E-2</v>
      </c>
      <c r="O30">
        <f t="shared" ca="1" si="3"/>
        <v>2.0889560615987353E-2</v>
      </c>
      <c r="Q30" s="2">
        <f t="shared" si="4"/>
        <v>41044.006999999998</v>
      </c>
    </row>
    <row r="31" spans="1:21" x14ac:dyDescent="0.2">
      <c r="A31" s="58" t="s">
        <v>119</v>
      </c>
      <c r="B31" s="59" t="s">
        <v>46</v>
      </c>
      <c r="C31" s="60">
        <v>57516.392</v>
      </c>
      <c r="D31" s="60" t="s">
        <v>121</v>
      </c>
      <c r="E31">
        <f t="shared" si="0"/>
        <v>9902.5621782714734</v>
      </c>
      <c r="F31">
        <f t="shared" si="1"/>
        <v>9902.5</v>
      </c>
      <c r="G31">
        <f t="shared" si="2"/>
        <v>2.2949999998672865E-2</v>
      </c>
      <c r="K31">
        <f>+G31</f>
        <v>2.2949999998672865E-2</v>
      </c>
      <c r="O31">
        <f t="shared" ca="1" si="3"/>
        <v>2.3126251820596917E-2</v>
      </c>
      <c r="Q31" s="2">
        <f t="shared" si="4"/>
        <v>42497.892</v>
      </c>
    </row>
    <row r="32" spans="1:21" x14ac:dyDescent="0.2">
      <c r="A32" s="58" t="s">
        <v>119</v>
      </c>
      <c r="B32" s="59" t="s">
        <v>46</v>
      </c>
      <c r="C32" s="60">
        <v>57516.576699999998</v>
      </c>
      <c r="D32" s="60" t="s">
        <v>120</v>
      </c>
      <c r="E32">
        <f t="shared" si="0"/>
        <v>9903.0625846653984</v>
      </c>
      <c r="F32">
        <f t="shared" si="1"/>
        <v>9903</v>
      </c>
      <c r="G32">
        <f t="shared" si="2"/>
        <v>2.3099999998521525E-2</v>
      </c>
      <c r="K32">
        <f>+G32</f>
        <v>2.3099999998521525E-2</v>
      </c>
      <c r="O32">
        <f t="shared" ca="1" si="3"/>
        <v>2.3126535736718343E-2</v>
      </c>
      <c r="Q32" s="2">
        <f t="shared" si="4"/>
        <v>42498.076699999998</v>
      </c>
    </row>
    <row r="33" spans="1:17" x14ac:dyDescent="0.2">
      <c r="A33" s="61" t="s">
        <v>122</v>
      </c>
      <c r="B33" s="62" t="s">
        <v>46</v>
      </c>
      <c r="C33" s="63">
        <v>59853.352599999867</v>
      </c>
      <c r="D33" s="8"/>
      <c r="E33">
        <f t="shared" ref="E33:E36" si="5">+(C33-C$7)/C$8</f>
        <v>16234.072879977968</v>
      </c>
      <c r="F33">
        <f t="shared" ref="F33:F36" si="6">ROUND(2*E33,0)/2</f>
        <v>16234</v>
      </c>
      <c r="G33">
        <f t="shared" ref="G33:G36" si="7">+C33-(C$7+F33*C$8)</f>
        <v>2.6899999866145663E-2</v>
      </c>
      <c r="K33">
        <f t="shared" ref="K33:K36" si="8">+G33</f>
        <v>2.6899999866145663E-2</v>
      </c>
      <c r="O33">
        <f t="shared" ref="O33:O36" ca="1" si="9">+C$11+C$12*$F33</f>
        <v>2.6721481666239326E-2</v>
      </c>
      <c r="Q33" s="2">
        <f t="shared" ref="Q33:Q36" si="10">+C33-15018.5</f>
        <v>44834.852599999867</v>
      </c>
    </row>
    <row r="34" spans="1:17" x14ac:dyDescent="0.2">
      <c r="A34" s="61" t="s">
        <v>122</v>
      </c>
      <c r="B34" s="62" t="s">
        <v>46</v>
      </c>
      <c r="C34" s="63">
        <v>59856.305900000036</v>
      </c>
      <c r="D34" s="8"/>
      <c r="E34">
        <f t="shared" si="5"/>
        <v>16242.074234624863</v>
      </c>
      <c r="F34">
        <f t="shared" si="6"/>
        <v>16242</v>
      </c>
      <c r="G34">
        <f t="shared" si="7"/>
        <v>2.7400000035413541E-2</v>
      </c>
      <c r="K34">
        <f t="shared" si="8"/>
        <v>2.7400000035413541E-2</v>
      </c>
      <c r="O34">
        <f t="shared" ca="1" si="9"/>
        <v>2.6726024324182175E-2</v>
      </c>
      <c r="Q34" s="2">
        <f t="shared" si="10"/>
        <v>44837.805900000036</v>
      </c>
    </row>
    <row r="35" spans="1:17" x14ac:dyDescent="0.2">
      <c r="A35" s="64" t="s">
        <v>122</v>
      </c>
      <c r="B35" s="65" t="s">
        <v>46</v>
      </c>
      <c r="C35" s="63">
        <v>59857.412599999923</v>
      </c>
      <c r="D35" s="8"/>
      <c r="E35">
        <f t="shared" si="5"/>
        <v>16245.072609048833</v>
      </c>
      <c r="F35">
        <f t="shared" si="6"/>
        <v>16245</v>
      </c>
      <c r="G35">
        <f t="shared" si="7"/>
        <v>2.6799999926879536E-2</v>
      </c>
      <c r="K35">
        <f t="shared" si="8"/>
        <v>2.6799999926879536E-2</v>
      </c>
      <c r="O35">
        <f t="shared" ca="1" si="9"/>
        <v>2.6727727820910742E-2</v>
      </c>
      <c r="Q35" s="2">
        <f t="shared" si="10"/>
        <v>44838.912599999923</v>
      </c>
    </row>
    <row r="36" spans="1:17" x14ac:dyDescent="0.2">
      <c r="A36" s="61" t="s">
        <v>122</v>
      </c>
      <c r="B36" s="62" t="s">
        <v>46</v>
      </c>
      <c r="C36" s="63">
        <v>59858.334300000221</v>
      </c>
      <c r="D36" s="8"/>
      <c r="E36">
        <f t="shared" si="5"/>
        <v>16247.56976429212</v>
      </c>
      <c r="F36">
        <f t="shared" si="6"/>
        <v>16247.5</v>
      </c>
      <c r="G36">
        <f t="shared" si="7"/>
        <v>2.575000021897722E-2</v>
      </c>
      <c r="K36">
        <f t="shared" si="8"/>
        <v>2.575000021897722E-2</v>
      </c>
      <c r="O36">
        <f t="shared" ca="1" si="9"/>
        <v>2.6729147401517883E-2</v>
      </c>
      <c r="Q36" s="2">
        <f t="shared" si="10"/>
        <v>44839.834300000221</v>
      </c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53861.356299999999</v>
      </c>
      <c r="D7" s="30" t="s">
        <v>42</v>
      </c>
    </row>
    <row r="8" spans="1:7" x14ac:dyDescent="0.2">
      <c r="A8" t="s">
        <v>3</v>
      </c>
      <c r="C8" s="8">
        <v>0.56000000000000005</v>
      </c>
      <c r="D8" s="30" t="s">
        <v>42</v>
      </c>
    </row>
    <row r="9" spans="1:7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-4.6831727958274713E-2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2.091583385473387E-5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60179.460745370372</v>
      </c>
    </row>
    <row r="15" spans="1:7" x14ac:dyDescent="0.2">
      <c r="A15" s="12" t="s">
        <v>17</v>
      </c>
      <c r="B15" s="10"/>
      <c r="C15" s="13">
        <f ca="1">(C7+C11)+(C8+C12)*INT(MAX(F21:F3532))</f>
        <v>55825.302820101366</v>
      </c>
      <c r="D15" s="14" t="s">
        <v>39</v>
      </c>
      <c r="E15" s="15">
        <f ca="1">ROUND(2*(E14-$C$7)/$C$8,0)/2+E13</f>
        <v>11283.5</v>
      </c>
    </row>
    <row r="16" spans="1:7" x14ac:dyDescent="0.2">
      <c r="A16" s="16" t="s">
        <v>4</v>
      </c>
      <c r="B16" s="10"/>
      <c r="C16" s="17">
        <f ca="1">+C8+C12</f>
        <v>0.56002091583385483</v>
      </c>
      <c r="D16" s="14" t="s">
        <v>40</v>
      </c>
      <c r="E16" s="24">
        <f ca="1">ROUND(2*(E14-$C$15)/$C$16,0)/2+E13</f>
        <v>7776</v>
      </c>
    </row>
    <row r="17" spans="1:18" ht="13.5" thickBot="1" x14ac:dyDescent="0.25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45161.192128292088</v>
      </c>
    </row>
    <row r="18" spans="1:18" ht="14.25" thickTop="1" thickBot="1" x14ac:dyDescent="0.25">
      <c r="A18" s="16" t="s">
        <v>5</v>
      </c>
      <c r="B18" s="10"/>
      <c r="C18" s="19">
        <f ca="1">+C15</f>
        <v>55825.302820101366</v>
      </c>
      <c r="D18" s="20">
        <f ca="1">+C16</f>
        <v>0.56002091583385483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1" t="s">
        <v>45</v>
      </c>
      <c r="B21" s="32" t="s">
        <v>46</v>
      </c>
      <c r="C21" s="31">
        <v>53861.356299999999</v>
      </c>
      <c r="D21" s="31">
        <v>2.8999999999999998E-3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-4.6831727958274713E-2</v>
      </c>
      <c r="Q21" s="2">
        <f t="shared" ref="Q21:Q26" si="5">+C21-15018.5</f>
        <v>38842.856299999999</v>
      </c>
    </row>
    <row r="22" spans="1:18" x14ac:dyDescent="0.2">
      <c r="A22" s="31" t="s">
        <v>45</v>
      </c>
      <c r="B22" s="32" t="s">
        <v>46</v>
      </c>
      <c r="C22" s="31">
        <v>53861.5461</v>
      </c>
      <c r="D22" s="31">
        <v>1.6000000000000001E-3</v>
      </c>
      <c r="E22">
        <f t="shared" si="0"/>
        <v>0.33892857142875848</v>
      </c>
      <c r="F22">
        <f t="shared" si="1"/>
        <v>0.5</v>
      </c>
      <c r="G22">
        <f t="shared" si="2"/>
        <v>-9.0199999998731073E-2</v>
      </c>
      <c r="H22">
        <f t="shared" si="3"/>
        <v>-9.0199999998731073E-2</v>
      </c>
      <c r="O22">
        <f t="shared" ca="1" si="4"/>
        <v>-4.6821270041347347E-2</v>
      </c>
      <c r="Q22" s="2">
        <f t="shared" si="5"/>
        <v>38843.0461</v>
      </c>
    </row>
    <row r="23" spans="1:18" x14ac:dyDescent="0.2">
      <c r="A23" s="31" t="s">
        <v>47</v>
      </c>
      <c r="B23" s="32" t="s">
        <v>46</v>
      </c>
      <c r="C23" s="31">
        <v>55670.520900000003</v>
      </c>
      <c r="D23" s="31" t="s">
        <v>48</v>
      </c>
      <c r="E23">
        <f t="shared" si="0"/>
        <v>3230.6510714285778</v>
      </c>
      <c r="F23">
        <f t="shared" si="1"/>
        <v>3230.5</v>
      </c>
      <c r="G23">
        <f t="shared" si="2"/>
        <v>8.4600000001955777E-2</v>
      </c>
      <c r="H23">
        <f t="shared" si="3"/>
        <v>8.4600000001955777E-2</v>
      </c>
      <c r="O23">
        <f t="shared" ca="1" si="4"/>
        <v>2.0736873309443057E-2</v>
      </c>
      <c r="Q23" s="2">
        <f t="shared" si="5"/>
        <v>40652.020900000003</v>
      </c>
    </row>
    <row r="24" spans="1:18" x14ac:dyDescent="0.2">
      <c r="A24" s="31" t="s">
        <v>47</v>
      </c>
      <c r="B24" s="32" t="s">
        <v>46</v>
      </c>
      <c r="C24" s="31">
        <v>55673.473299999998</v>
      </c>
      <c r="D24" s="31" t="s">
        <v>49</v>
      </c>
      <c r="E24">
        <f t="shared" si="0"/>
        <v>3235.9232142857109</v>
      </c>
      <c r="F24">
        <f t="shared" si="1"/>
        <v>3236</v>
      </c>
      <c r="G24">
        <f t="shared" si="2"/>
        <v>-4.3000000005122274E-2</v>
      </c>
      <c r="H24">
        <f t="shared" si="3"/>
        <v>-4.3000000005122274E-2</v>
      </c>
      <c r="O24">
        <f t="shared" ca="1" si="4"/>
        <v>2.0851910395644088E-2</v>
      </c>
      <c r="Q24" s="2">
        <f t="shared" si="5"/>
        <v>40654.973299999998</v>
      </c>
    </row>
    <row r="25" spans="1:18" x14ac:dyDescent="0.2">
      <c r="A25" s="31" t="s">
        <v>47</v>
      </c>
      <c r="B25" s="32" t="s">
        <v>46</v>
      </c>
      <c r="C25" s="31">
        <v>55705.4</v>
      </c>
      <c r="D25" s="31" t="s">
        <v>50</v>
      </c>
      <c r="E25">
        <f t="shared" si="0"/>
        <v>3292.9351785714316</v>
      </c>
      <c r="F25">
        <f t="shared" si="1"/>
        <v>3293</v>
      </c>
      <c r="G25">
        <f t="shared" si="2"/>
        <v>-3.6299999999755528E-2</v>
      </c>
      <c r="H25">
        <f t="shared" si="3"/>
        <v>-3.6299999999755528E-2</v>
      </c>
      <c r="O25">
        <f t="shared" ca="1" si="4"/>
        <v>2.2044112925363915E-2</v>
      </c>
      <c r="Q25" s="2">
        <f t="shared" si="5"/>
        <v>40686.9</v>
      </c>
    </row>
    <row r="26" spans="1:18" x14ac:dyDescent="0.2">
      <c r="A26" s="33" t="s">
        <v>51</v>
      </c>
      <c r="B26" s="34" t="s">
        <v>52</v>
      </c>
      <c r="C26" s="35">
        <v>55825.3577</v>
      </c>
      <c r="D26" s="35">
        <v>8.0000000000000004E-4</v>
      </c>
      <c r="E26">
        <f t="shared" si="0"/>
        <v>3507.1453571428588</v>
      </c>
      <c r="F26">
        <f t="shared" si="1"/>
        <v>3507</v>
      </c>
      <c r="G26">
        <f t="shared" si="2"/>
        <v>8.1400000002759043E-2</v>
      </c>
      <c r="H26">
        <f t="shared" si="3"/>
        <v>8.1400000002759043E-2</v>
      </c>
      <c r="O26">
        <f t="shared" ca="1" si="4"/>
        <v>2.6520101370276966E-2</v>
      </c>
      <c r="Q26" s="2">
        <f t="shared" si="5"/>
        <v>40806.8577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57</v>
      </c>
      <c r="I1" s="43" t="s">
        <v>58</v>
      </c>
      <c r="J1" s="44" t="s">
        <v>59</v>
      </c>
    </row>
    <row r="2" spans="1:16" x14ac:dyDescent="0.2">
      <c r="I2" s="45" t="s">
        <v>60</v>
      </c>
      <c r="J2" s="46" t="s">
        <v>61</v>
      </c>
    </row>
    <row r="3" spans="1:16" x14ac:dyDescent="0.2">
      <c r="A3" s="47" t="s">
        <v>62</v>
      </c>
      <c r="I3" s="45" t="s">
        <v>63</v>
      </c>
      <c r="J3" s="46" t="s">
        <v>64</v>
      </c>
    </row>
    <row r="4" spans="1:16" x14ac:dyDescent="0.2">
      <c r="I4" s="45" t="s">
        <v>65</v>
      </c>
      <c r="J4" s="46" t="s">
        <v>64</v>
      </c>
    </row>
    <row r="5" spans="1:16" ht="13.5" thickBot="1" x14ac:dyDescent="0.25">
      <c r="I5" s="48" t="s">
        <v>66</v>
      </c>
      <c r="J5" s="49" t="s">
        <v>67</v>
      </c>
    </row>
    <row r="10" spans="1:16" ht="13.5" thickBot="1" x14ac:dyDescent="0.25"/>
    <row r="11" spans="1:16" ht="12.75" customHeight="1" thickBot="1" x14ac:dyDescent="0.25">
      <c r="A11" s="8" t="str">
        <f t="shared" ref="A11:A20" si="0">P11</f>
        <v>BAVM 178 </v>
      </c>
      <c r="B11" s="3" t="str">
        <f t="shared" ref="B11:B20" si="1">IF(H11=INT(H11),"I","II")</f>
        <v>II</v>
      </c>
      <c r="C11" s="8">
        <f t="shared" ref="C11:C20" si="2">1*G11</f>
        <v>53861.356299999999</v>
      </c>
      <c r="D11" s="10" t="str">
        <f t="shared" ref="D11:D20" si="3">VLOOKUP(F11,I$1:J$5,2,FALSE)</f>
        <v>vis</v>
      </c>
      <c r="E11" s="50">
        <f>VLOOKUP(C11,Active!C$21:E$973,3,FALSE)</f>
        <v>0</v>
      </c>
      <c r="F11" s="3" t="s">
        <v>66</v>
      </c>
      <c r="G11" s="10" t="str">
        <f t="shared" ref="G11:G20" si="4">MID(I11,3,LEN(I11)-3)</f>
        <v>53861.3563</v>
      </c>
      <c r="H11" s="8">
        <f t="shared" ref="H11:H20" si="5">1*K11</f>
        <v>3005.5</v>
      </c>
      <c r="I11" s="51" t="s">
        <v>68</v>
      </c>
      <c r="J11" s="52" t="s">
        <v>69</v>
      </c>
      <c r="K11" s="51">
        <v>3005.5</v>
      </c>
      <c r="L11" s="51" t="s">
        <v>70</v>
      </c>
      <c r="M11" s="52" t="s">
        <v>71</v>
      </c>
      <c r="N11" s="52" t="s">
        <v>72</v>
      </c>
      <c r="O11" s="53" t="s">
        <v>73</v>
      </c>
      <c r="P11" s="54" t="s">
        <v>74</v>
      </c>
    </row>
    <row r="12" spans="1:16" ht="12.75" customHeight="1" thickBot="1" x14ac:dyDescent="0.25">
      <c r="A12" s="8" t="str">
        <f t="shared" si="0"/>
        <v>BAVM 178 </v>
      </c>
      <c r="B12" s="3" t="str">
        <f t="shared" si="1"/>
        <v>I</v>
      </c>
      <c r="C12" s="8">
        <f t="shared" si="2"/>
        <v>53861.5461</v>
      </c>
      <c r="D12" s="10" t="str">
        <f t="shared" si="3"/>
        <v>vis</v>
      </c>
      <c r="E12" s="50">
        <f>VLOOKUP(C12,Active!C$21:E$973,3,FALSE)</f>
        <v>0.51422378759172249</v>
      </c>
      <c r="F12" s="3" t="s">
        <v>66</v>
      </c>
      <c r="G12" s="10" t="str">
        <f t="shared" si="4"/>
        <v>53861.5461</v>
      </c>
      <c r="H12" s="8">
        <f t="shared" si="5"/>
        <v>3006</v>
      </c>
      <c r="I12" s="51" t="s">
        <v>75</v>
      </c>
      <c r="J12" s="52" t="s">
        <v>76</v>
      </c>
      <c r="K12" s="51" t="s">
        <v>77</v>
      </c>
      <c r="L12" s="51" t="s">
        <v>78</v>
      </c>
      <c r="M12" s="52" t="s">
        <v>71</v>
      </c>
      <c r="N12" s="52" t="s">
        <v>72</v>
      </c>
      <c r="O12" s="53" t="s">
        <v>73</v>
      </c>
      <c r="P12" s="54" t="s">
        <v>74</v>
      </c>
    </row>
    <row r="13" spans="1:16" ht="12.75" customHeight="1" thickBot="1" x14ac:dyDescent="0.25">
      <c r="A13" s="8" t="str">
        <f t="shared" si="0"/>
        <v>BAVM 220 </v>
      </c>
      <c r="B13" s="3" t="str">
        <f t="shared" si="1"/>
        <v>II</v>
      </c>
      <c r="C13" s="8">
        <f t="shared" si="2"/>
        <v>55670.520900000003</v>
      </c>
      <c r="D13" s="10" t="str">
        <f t="shared" si="3"/>
        <v>vis</v>
      </c>
      <c r="E13" s="50">
        <f>VLOOKUP(C13,Active!C$21:E$973,3,FALSE)</f>
        <v>4901.5567596857327</v>
      </c>
      <c r="F13" s="3" t="s">
        <v>66</v>
      </c>
      <c r="G13" s="10" t="str">
        <f t="shared" si="4"/>
        <v>55670.5209</v>
      </c>
      <c r="H13" s="8">
        <f t="shared" si="5"/>
        <v>7771.5</v>
      </c>
      <c r="I13" s="51" t="s">
        <v>79</v>
      </c>
      <c r="J13" s="52" t="s">
        <v>80</v>
      </c>
      <c r="K13" s="51" t="s">
        <v>81</v>
      </c>
      <c r="L13" s="51" t="s">
        <v>82</v>
      </c>
      <c r="M13" s="52" t="s">
        <v>71</v>
      </c>
      <c r="N13" s="52" t="s">
        <v>72</v>
      </c>
      <c r="O13" s="53" t="s">
        <v>83</v>
      </c>
      <c r="P13" s="54" t="s">
        <v>84</v>
      </c>
    </row>
    <row r="14" spans="1:16" ht="12.75" customHeight="1" thickBot="1" x14ac:dyDescent="0.25">
      <c r="A14" s="8" t="str">
        <f t="shared" si="0"/>
        <v>BAVM 220 </v>
      </c>
      <c r="B14" s="3" t="str">
        <f t="shared" si="1"/>
        <v>I</v>
      </c>
      <c r="C14" s="8">
        <f t="shared" si="2"/>
        <v>55673.473299999998</v>
      </c>
      <c r="D14" s="10" t="str">
        <f t="shared" si="3"/>
        <v>vis</v>
      </c>
      <c r="E14" s="50">
        <f>VLOOKUP(C14,Active!C$21:E$973,3,FALSE)</f>
        <v>4909.5556759685678</v>
      </c>
      <c r="F14" s="3" t="s">
        <v>66</v>
      </c>
      <c r="G14" s="10" t="str">
        <f t="shared" si="4"/>
        <v>55673.4733</v>
      </c>
      <c r="H14" s="8">
        <f t="shared" si="5"/>
        <v>7778</v>
      </c>
      <c r="I14" s="51" t="s">
        <v>85</v>
      </c>
      <c r="J14" s="52" t="s">
        <v>86</v>
      </c>
      <c r="K14" s="51" t="s">
        <v>87</v>
      </c>
      <c r="L14" s="51" t="s">
        <v>88</v>
      </c>
      <c r="M14" s="52" t="s">
        <v>71</v>
      </c>
      <c r="N14" s="52" t="s">
        <v>72</v>
      </c>
      <c r="O14" s="53" t="s">
        <v>83</v>
      </c>
      <c r="P14" s="54" t="s">
        <v>84</v>
      </c>
    </row>
    <row r="15" spans="1:16" ht="12.75" customHeight="1" thickBot="1" x14ac:dyDescent="0.25">
      <c r="A15" s="8" t="str">
        <f t="shared" si="0"/>
        <v>BAVM 220 </v>
      </c>
      <c r="B15" s="3" t="str">
        <f t="shared" si="1"/>
        <v>II</v>
      </c>
      <c r="C15" s="8">
        <f t="shared" si="2"/>
        <v>55705.4</v>
      </c>
      <c r="D15" s="10" t="str">
        <f t="shared" si="3"/>
        <v>vis</v>
      </c>
      <c r="E15" s="50">
        <f>VLOOKUP(C15,Active!C$21:E$973,3,FALSE)</f>
        <v>4996.0544567867846</v>
      </c>
      <c r="F15" s="3" t="s">
        <v>66</v>
      </c>
      <c r="G15" s="10" t="str">
        <f t="shared" si="4"/>
        <v>55705.4000</v>
      </c>
      <c r="H15" s="8">
        <f t="shared" si="5"/>
        <v>7848.5</v>
      </c>
      <c r="I15" s="51" t="s">
        <v>89</v>
      </c>
      <c r="J15" s="52" t="s">
        <v>90</v>
      </c>
      <c r="K15" s="51" t="s">
        <v>91</v>
      </c>
      <c r="L15" s="51" t="s">
        <v>92</v>
      </c>
      <c r="M15" s="52" t="s">
        <v>71</v>
      </c>
      <c r="N15" s="52" t="s">
        <v>72</v>
      </c>
      <c r="O15" s="53" t="s">
        <v>83</v>
      </c>
      <c r="P15" s="54" t="s">
        <v>84</v>
      </c>
    </row>
    <row r="16" spans="1:16" ht="12.75" customHeight="1" thickBot="1" x14ac:dyDescent="0.25">
      <c r="A16" s="8" t="str">
        <f t="shared" si="0"/>
        <v>OEJV 0160 </v>
      </c>
      <c r="B16" s="3" t="str">
        <f t="shared" si="1"/>
        <v>I</v>
      </c>
      <c r="C16" s="8">
        <f t="shared" si="2"/>
        <v>55707.42985</v>
      </c>
      <c r="D16" s="10" t="str">
        <f t="shared" si="3"/>
        <v>vis</v>
      </c>
      <c r="E16" s="50">
        <f>VLOOKUP(C16,Active!C$21:E$973,3,FALSE)</f>
        <v>5001.5539149282067</v>
      </c>
      <c r="F16" s="3" t="s">
        <v>66</v>
      </c>
      <c r="G16" s="10" t="str">
        <f t="shared" si="4"/>
        <v>55707.42985</v>
      </c>
      <c r="H16" s="8">
        <f t="shared" si="5"/>
        <v>7853</v>
      </c>
      <c r="I16" s="51" t="s">
        <v>93</v>
      </c>
      <c r="J16" s="52" t="s">
        <v>94</v>
      </c>
      <c r="K16" s="51" t="s">
        <v>95</v>
      </c>
      <c r="L16" s="51" t="s">
        <v>96</v>
      </c>
      <c r="M16" s="52" t="s">
        <v>71</v>
      </c>
      <c r="N16" s="52" t="s">
        <v>58</v>
      </c>
      <c r="O16" s="53" t="s">
        <v>97</v>
      </c>
      <c r="P16" s="54" t="s">
        <v>98</v>
      </c>
    </row>
    <row r="17" spans="1:16" ht="12.75" customHeight="1" thickBot="1" x14ac:dyDescent="0.25">
      <c r="A17" s="8" t="str">
        <f t="shared" si="0"/>
        <v>OEJV 0160 </v>
      </c>
      <c r="B17" s="3" t="str">
        <f t="shared" si="1"/>
        <v>II</v>
      </c>
      <c r="C17" s="8">
        <f t="shared" si="2"/>
        <v>55724.407709999999</v>
      </c>
      <c r="D17" s="10" t="str">
        <f t="shared" si="3"/>
        <v>vis</v>
      </c>
      <c r="E17" s="50">
        <f>VLOOKUP(C17,Active!C$21:E$973,3,FALSE)</f>
        <v>5047.5519100514766</v>
      </c>
      <c r="F17" s="3" t="s">
        <v>66</v>
      </c>
      <c r="G17" s="10" t="str">
        <f t="shared" si="4"/>
        <v>55724.40771</v>
      </c>
      <c r="H17" s="8">
        <f t="shared" si="5"/>
        <v>7890.5</v>
      </c>
      <c r="I17" s="51" t="s">
        <v>99</v>
      </c>
      <c r="J17" s="52" t="s">
        <v>100</v>
      </c>
      <c r="K17" s="51" t="s">
        <v>101</v>
      </c>
      <c r="L17" s="51" t="s">
        <v>102</v>
      </c>
      <c r="M17" s="52" t="s">
        <v>71</v>
      </c>
      <c r="N17" s="52" t="s">
        <v>58</v>
      </c>
      <c r="O17" s="53" t="s">
        <v>103</v>
      </c>
      <c r="P17" s="54" t="s">
        <v>98</v>
      </c>
    </row>
    <row r="18" spans="1:16" ht="12.75" customHeight="1" thickBot="1" x14ac:dyDescent="0.25">
      <c r="A18" s="8" t="str">
        <f t="shared" si="0"/>
        <v>OEJV 0160 </v>
      </c>
      <c r="B18" s="3" t="str">
        <f t="shared" si="1"/>
        <v>I</v>
      </c>
      <c r="C18" s="8">
        <f t="shared" si="2"/>
        <v>55749.507250000002</v>
      </c>
      <c r="D18" s="10" t="str">
        <f t="shared" si="3"/>
        <v>vis</v>
      </c>
      <c r="E18" s="50">
        <f>VLOOKUP(C18,Active!C$21:E$973,3,FALSE)</f>
        <v>5115.5539149282122</v>
      </c>
      <c r="F18" s="3" t="s">
        <v>66</v>
      </c>
      <c r="G18" s="10" t="str">
        <f t="shared" si="4"/>
        <v>55749.50725</v>
      </c>
      <c r="H18" s="8">
        <f t="shared" si="5"/>
        <v>7946</v>
      </c>
      <c r="I18" s="51" t="s">
        <v>104</v>
      </c>
      <c r="J18" s="52" t="s">
        <v>105</v>
      </c>
      <c r="K18" s="51" t="s">
        <v>106</v>
      </c>
      <c r="L18" s="51" t="s">
        <v>107</v>
      </c>
      <c r="M18" s="52" t="s">
        <v>71</v>
      </c>
      <c r="N18" s="52" t="s">
        <v>58</v>
      </c>
      <c r="O18" s="53" t="s">
        <v>103</v>
      </c>
      <c r="P18" s="54" t="s">
        <v>98</v>
      </c>
    </row>
    <row r="19" spans="1:16" ht="12.75" customHeight="1" thickBot="1" x14ac:dyDescent="0.25">
      <c r="A19" s="8" t="str">
        <f t="shared" si="0"/>
        <v>IBVS 6033 </v>
      </c>
      <c r="B19" s="3" t="str">
        <f t="shared" si="1"/>
        <v>II</v>
      </c>
      <c r="C19" s="8">
        <f t="shared" si="2"/>
        <v>55825.3577</v>
      </c>
      <c r="D19" s="10" t="str">
        <f t="shared" si="3"/>
        <v>vis</v>
      </c>
      <c r="E19" s="50">
        <f>VLOOKUP(C19,Active!C$21:E$973,3,FALSE)</f>
        <v>5321.0549986453561</v>
      </c>
      <c r="F19" s="3" t="s">
        <v>66</v>
      </c>
      <c r="G19" s="10" t="str">
        <f t="shared" si="4"/>
        <v>55825.3577</v>
      </c>
      <c r="H19" s="8">
        <f t="shared" si="5"/>
        <v>8113.5</v>
      </c>
      <c r="I19" s="51" t="s">
        <v>108</v>
      </c>
      <c r="J19" s="52" t="s">
        <v>109</v>
      </c>
      <c r="K19" s="51" t="s">
        <v>110</v>
      </c>
      <c r="L19" s="51" t="s">
        <v>111</v>
      </c>
      <c r="M19" s="52" t="s">
        <v>71</v>
      </c>
      <c r="N19" s="52" t="s">
        <v>66</v>
      </c>
      <c r="O19" s="53" t="s">
        <v>112</v>
      </c>
      <c r="P19" s="54" t="s">
        <v>113</v>
      </c>
    </row>
    <row r="20" spans="1:16" ht="12.75" customHeight="1" thickBot="1" x14ac:dyDescent="0.25">
      <c r="A20" s="8" t="str">
        <f t="shared" si="0"/>
        <v>BAVM 231 </v>
      </c>
      <c r="B20" s="3" t="str">
        <f t="shared" si="1"/>
        <v>I</v>
      </c>
      <c r="C20" s="8">
        <f t="shared" si="2"/>
        <v>56062.506999999998</v>
      </c>
      <c r="D20" s="10" t="str">
        <f t="shared" si="3"/>
        <v>vis</v>
      </c>
      <c r="E20" s="50">
        <f>VLOOKUP(C20,Active!C$21:E$973,3,FALSE)</f>
        <v>5963.5619073421794</v>
      </c>
      <c r="F20" s="3" t="s">
        <v>66</v>
      </c>
      <c r="G20" s="10" t="str">
        <f t="shared" si="4"/>
        <v>56062.5070</v>
      </c>
      <c r="H20" s="8">
        <f t="shared" si="5"/>
        <v>8637</v>
      </c>
      <c r="I20" s="51" t="s">
        <v>114</v>
      </c>
      <c r="J20" s="52" t="s">
        <v>115</v>
      </c>
      <c r="K20" s="51" t="s">
        <v>116</v>
      </c>
      <c r="L20" s="51" t="s">
        <v>117</v>
      </c>
      <c r="M20" s="52" t="s">
        <v>71</v>
      </c>
      <c r="N20" s="52" t="s">
        <v>72</v>
      </c>
      <c r="O20" s="53" t="s">
        <v>83</v>
      </c>
      <c r="P20" s="54" t="s">
        <v>118</v>
      </c>
    </row>
    <row r="21" spans="1:16" x14ac:dyDescent="0.2">
      <c r="B21" s="3"/>
      <c r="E21" s="50"/>
      <c r="F21" s="3"/>
    </row>
    <row r="22" spans="1:16" x14ac:dyDescent="0.2">
      <c r="B22" s="3"/>
      <c r="E22" s="50"/>
      <c r="F22" s="3"/>
    </row>
    <row r="23" spans="1:16" x14ac:dyDescent="0.2">
      <c r="B23" s="3"/>
      <c r="E23" s="50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</sheetData>
  <phoneticPr fontId="8" type="noConversion"/>
  <hyperlinks>
    <hyperlink ref="P11" r:id="rId1" display="http://www.bav-astro.de/sfs/BAVM_link.php?BAVMnr=178"/>
    <hyperlink ref="P12" r:id="rId2" display="http://www.bav-astro.de/sfs/BAVM_link.php?BAVMnr=178"/>
    <hyperlink ref="P13" r:id="rId3" display="http://www.bav-astro.de/sfs/BAVM_link.php?BAVMnr=220"/>
    <hyperlink ref="P14" r:id="rId4" display="http://www.bav-astro.de/sfs/BAVM_link.php?BAVMnr=220"/>
    <hyperlink ref="P15" r:id="rId5" display="http://www.bav-astro.de/sfs/BAVM_link.php?BAVMnr=220"/>
    <hyperlink ref="P16" r:id="rId6" display="http://var.astro.cz/oejv/issues/oejv0160.pdf"/>
    <hyperlink ref="P17" r:id="rId7" display="http://var.astro.cz/oejv/issues/oejv0160.pdf"/>
    <hyperlink ref="P18" r:id="rId8" display="http://var.astro.cz/oejv/issues/oejv0160.pdf"/>
    <hyperlink ref="P19" r:id="rId9" display="http://www.konkoly.hu/cgi-bin/IBVS?6033"/>
    <hyperlink ref="P20" r:id="rId10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2023-08-22T05:33:28Z</dcterms:modified>
</cp:coreProperties>
</file>