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C66B07D-4A8D-4E52-9E7E-6C86668547A5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2" r:id="rId1"/>
    <sheet name="Active 2" sheetId="1" r:id="rId2"/>
  </sheets>
  <calcPr calcId="181029"/>
</workbook>
</file>

<file path=xl/calcChain.xml><?xml version="1.0" encoding="utf-8"?>
<calcChain xmlns="http://schemas.openxmlformats.org/spreadsheetml/2006/main">
  <c r="E32" i="2" l="1"/>
  <c r="F32" i="2" s="1"/>
  <c r="G32" i="2" s="1"/>
  <c r="K32" i="2" s="1"/>
  <c r="Q32" i="2"/>
  <c r="E31" i="1" l="1"/>
  <c r="F31" i="1" s="1"/>
  <c r="G31" i="1" s="1"/>
  <c r="K31" i="1" s="1"/>
  <c r="Q31" i="1"/>
  <c r="E32" i="1"/>
  <c r="F32" i="1"/>
  <c r="G32" i="1" s="1"/>
  <c r="K32" i="1" s="1"/>
  <c r="Q32" i="1"/>
  <c r="E31" i="2"/>
  <c r="F31" i="2"/>
  <c r="G31" i="2"/>
  <c r="K31" i="2"/>
  <c r="Q31" i="2"/>
  <c r="C9" i="2"/>
  <c r="D9" i="2"/>
  <c r="F16" i="2"/>
  <c r="F17" i="2" s="1"/>
  <c r="C17" i="2"/>
  <c r="E21" i="2"/>
  <c r="F21" i="2"/>
  <c r="G21" i="2"/>
  <c r="K21" i="2"/>
  <c r="Q21" i="2"/>
  <c r="E22" i="2"/>
  <c r="F22" i="2"/>
  <c r="G22" i="2"/>
  <c r="K22" i="2"/>
  <c r="Q22" i="2"/>
  <c r="E23" i="2"/>
  <c r="F23" i="2"/>
  <c r="G23" i="2"/>
  <c r="K23" i="2"/>
  <c r="Q23" i="2"/>
  <c r="E24" i="2"/>
  <c r="F24" i="2"/>
  <c r="G24" i="2"/>
  <c r="I24" i="2"/>
  <c r="Q24" i="2"/>
  <c r="E25" i="2"/>
  <c r="F25" i="2"/>
  <c r="U25" i="2"/>
  <c r="Q25" i="2"/>
  <c r="E26" i="2"/>
  <c r="F26" i="2"/>
  <c r="G26" i="2"/>
  <c r="K26" i="2"/>
  <c r="Q26" i="2"/>
  <c r="E27" i="2"/>
  <c r="F27" i="2"/>
  <c r="G27" i="2"/>
  <c r="K27" i="2"/>
  <c r="Q27" i="2"/>
  <c r="E28" i="2"/>
  <c r="F28" i="2"/>
  <c r="G28" i="2"/>
  <c r="K28" i="2"/>
  <c r="Q28" i="2"/>
  <c r="E29" i="2"/>
  <c r="F29" i="2"/>
  <c r="G29" i="2"/>
  <c r="K29" i="2"/>
  <c r="Q29" i="2"/>
  <c r="E30" i="2"/>
  <c r="F30" i="2"/>
  <c r="G30" i="2"/>
  <c r="K30" i="2"/>
  <c r="Q30" i="2"/>
  <c r="Q30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D9" i="1"/>
  <c r="C9" i="1"/>
  <c r="E21" i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I24" i="1"/>
  <c r="E25" i="1"/>
  <c r="F25" i="1"/>
  <c r="G25" i="1"/>
  <c r="I25" i="1"/>
  <c r="Q29" i="1"/>
  <c r="Q28" i="1"/>
  <c r="Q27" i="1"/>
  <c r="Q26" i="1"/>
  <c r="Q24" i="1"/>
  <c r="Q25" i="1"/>
  <c r="F16" i="1"/>
  <c r="C17" i="1"/>
  <c r="Q21" i="1"/>
  <c r="Q22" i="1"/>
  <c r="Q23" i="1"/>
  <c r="C11" i="1"/>
  <c r="C12" i="2"/>
  <c r="C12" i="1"/>
  <c r="C11" i="2"/>
  <c r="O32" i="2" l="1"/>
  <c r="O32" i="1"/>
  <c r="O31" i="1"/>
  <c r="O25" i="2"/>
  <c r="C15" i="2"/>
  <c r="O28" i="2"/>
  <c r="O22" i="2"/>
  <c r="O23" i="2"/>
  <c r="O27" i="2"/>
  <c r="O31" i="2"/>
  <c r="O30" i="2"/>
  <c r="O26" i="2"/>
  <c r="O29" i="2"/>
  <c r="O21" i="2"/>
  <c r="O24" i="2"/>
  <c r="C16" i="1"/>
  <c r="D18" i="1" s="1"/>
  <c r="C16" i="2"/>
  <c r="D18" i="2" s="1"/>
  <c r="O26" i="1"/>
  <c r="O24" i="1"/>
  <c r="C15" i="1"/>
  <c r="O28" i="1"/>
  <c r="O21" i="1"/>
  <c r="O23" i="1"/>
  <c r="O25" i="1"/>
  <c r="O22" i="1"/>
  <c r="O29" i="1"/>
  <c r="O30" i="1"/>
  <c r="O27" i="1"/>
  <c r="F17" i="1"/>
  <c r="F18" i="2" l="1"/>
  <c r="F19" i="2" s="1"/>
  <c r="C18" i="1"/>
  <c r="F18" i="1"/>
  <c r="F19" i="1" s="1"/>
  <c r="C18" i="2"/>
</calcChain>
</file>

<file path=xl/sharedStrings.xml><?xml version="1.0" encoding="utf-8"?>
<sst xmlns="http://schemas.openxmlformats.org/spreadsheetml/2006/main" count="140" uniqueCount="54">
  <si>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</si>
  <si>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</si>
  <si>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</si>
  <si>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</si>
  <si>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</si>
  <si>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</si>
  <si>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</si>
  <si>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</si>
  <si>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</si>
  <si>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</si>
  <si>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</si>
  <si>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</si>
  <si>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</si>
  <si>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</si>
  <si>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</si>
  <si>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</si>
  <si>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</si>
  <si>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</si>
  <si>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</si>
  <si>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</si>
  <si>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</si>
  <si>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</si>
  <si>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</si>
  <si>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</si>
  <si>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</si>
  <si>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</si>
  <si>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</si>
  <si>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</si>
  <si>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</si>
  <si>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</si>
  <si>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</si>
  <si>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</si>
  <si>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</si>
  <si>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</si>
  <si>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</si>
  <si>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EW</t>
  </si>
  <si>
    <t>not avail.</t>
  </si>
  <si>
    <t>IBVS 5060</t>
  </si>
  <si>
    <t>IBVS 5731 is a duplicate</t>
  </si>
  <si>
    <t>I</t>
  </si>
  <si>
    <t>II</t>
  </si>
  <si>
    <t>Add cycle</t>
  </si>
  <si>
    <t>Old Cycle</t>
  </si>
  <si>
    <t>OEJV 0137</t>
  </si>
  <si>
    <t>BAD</t>
  </si>
  <si>
    <t>OEJV 0179</t>
  </si>
  <si>
    <t>pg</t>
  </si>
  <si>
    <t>vis</t>
  </si>
  <si>
    <t>PE</t>
  </si>
  <si>
    <t>CCD</t>
  </si>
  <si>
    <t>OEJV 0211</t>
  </si>
  <si>
    <t>JAAVSO 51, 2023</t>
  </si>
  <si>
    <t>V0589 Lyr / GSC 3142-0528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</si>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</sst>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27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6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4" fillId="24" borderId="5" xfId="0" applyFont="1" applyFill="1" applyBorder="1" applyAlignment="1">
      <alignment horizontal="left" vertical="center"/>
    </xf>
    <xf numFmtId="0" fontId="4" fillId="24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4" fillId="0" borderId="5" xfId="0" applyFont="1" applyBorder="1" applyAlignment="1"/>
    <xf numFmtId="0" fontId="4" fillId="0" borderId="5" xfId="0" applyFont="1" applyBorder="1" applyAlignment="1">
      <alignment horizontal="left"/>
    </xf>
    <xf numFmtId="0" fontId="4" fillId="24" borderId="11" xfId="0" applyFont="1" applyFill="1" applyBorder="1" applyAlignment="1">
      <alignment horizontal="left" vertical="center"/>
    </xf>
    <xf numFmtId="0" fontId="4" fillId="24" borderId="11" xfId="0" applyFont="1" applyFill="1" applyBorder="1" applyAlignment="1">
      <alignment horizontal="center" vertical="center"/>
    </xf>
    <xf numFmtId="0" fontId="0" fillId="0" borderId="11" xfId="0" applyBorder="1" applyAlignment="1"/>
    <xf numFmtId="0" fontId="8" fillId="0" borderId="5" xfId="0" applyFont="1" applyBorder="1" applyAlignment="1"/>
    <xf numFmtId="0" fontId="14" fillId="0" borderId="8" xfId="0" applyFont="1" applyBorder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5" fillId="0" borderId="11" xfId="0" applyFont="1" applyBorder="1" applyAlignment="1"/>
    <xf numFmtId="0" fontId="5" fillId="0" borderId="0" xfId="0" applyFont="1" applyAlignment="1"/>
    <xf numFmtId="14" fontId="5" fillId="0" borderId="0" xfId="0" applyNumberFormat="1" applyFont="1" applyAlignment="1"/>
    <xf numFmtId="0" fontId="5" fillId="0" borderId="5" xfId="0" applyFont="1" applyBorder="1" applyAlignment="1"/>
    <xf numFmtId="0" fontId="4" fillId="0" borderId="0" xfId="0" applyFo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25" borderId="5" xfId="0" applyFont="1" applyFill="1" applyBorder="1" applyAlignment="1"/>
    <xf numFmtId="165" fontId="32" fillId="0" borderId="0" xfId="0" applyNumberFormat="1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33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V589 Lyr - O-C Diagr.</a:t>
            </a:r>
          </a:p>
        </c:rich>
      </c:tx>
      <c:layout>
        <c:manualLayout>
          <c:xMode val="edge"/>
          <c:yMode val="edge"/>
          <c:x val="0.386648122392211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1974965229486"/>
          <c:y val="0.14035127795846455"/>
          <c:w val="0.8386648122392211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A8-4888-B16E-DDFA09140D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3">
                  <c:v>0.16971999999805121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A8-4888-B16E-DDFA09140D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A8-4888-B16E-DDFA09140D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-5.2999999970779754E-3</c:v>
                </c:pt>
                <c:pt idx="2">
                  <c:v>7.5900000003457535E-2</c:v>
                </c:pt>
                <c:pt idx="5">
                  <c:v>0.2570800000030431</c:v>
                </c:pt>
                <c:pt idx="6">
                  <c:v>0.25714000000152737</c:v>
                </c:pt>
                <c:pt idx="7">
                  <c:v>0.25731000000087079</c:v>
                </c:pt>
                <c:pt idx="8">
                  <c:v>0.25746999999682885</c:v>
                </c:pt>
                <c:pt idx="9">
                  <c:v>0.38540999999531778</c:v>
                </c:pt>
                <c:pt idx="10">
                  <c:v>0.38711999983206624</c:v>
                </c:pt>
                <c:pt idx="11">
                  <c:v>0.41370000000461005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A8-4888-B16E-DDFA09140D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A8-4888-B16E-DDFA09140D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A8-4888-B16E-DDFA09140D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A8-4888-B16E-DDFA09140D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-1.579177452327446E-2</c:v>
                </c:pt>
                <c:pt idx="1">
                  <c:v>-1.4773097303203099E-2</c:v>
                </c:pt>
                <c:pt idx="2">
                  <c:v>0.10462659580726649</c:v>
                </c:pt>
                <c:pt idx="3">
                  <c:v>0.17187716386215304</c:v>
                </c:pt>
                <c:pt idx="4">
                  <c:v>0.18894447518089252</c:v>
                </c:pt>
                <c:pt idx="5">
                  <c:v>0.29118749932173915</c:v>
                </c:pt>
                <c:pt idx="6">
                  <c:v>0.29118749932173915</c:v>
                </c:pt>
                <c:pt idx="7">
                  <c:v>0.29118749932173915</c:v>
                </c:pt>
                <c:pt idx="8">
                  <c:v>0.29118749932173915</c:v>
                </c:pt>
                <c:pt idx="9">
                  <c:v>0.31038152273150482</c:v>
                </c:pt>
                <c:pt idx="10">
                  <c:v>0.31345542592189563</c:v>
                </c:pt>
                <c:pt idx="11">
                  <c:v>0.42102416605539605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A8-4888-B16E-DDFA09140D9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Active!$D$21:$D$50</c:f>
                <c:numCache>
                  <c:formatCode>General</c:formatCode>
                  <c:ptCount val="30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Active!$D$21:$D$50</c:f>
                <c:numCache>
                  <c:formatCode>General</c:formatCode>
                  <c:ptCount val="30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4">
                  <c:v>-6.8449999998847488E-2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A8-4888-B16E-DDFA09140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291136"/>
        <c:axId val="1"/>
      </c:scatterChart>
      <c:valAx>
        <c:axId val="871291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668984700973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1291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87621696801114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V0589 Lyr - O-C Diagr.</a:t>
            </a:r>
          </a:p>
        </c:rich>
      </c:tx>
      <c:layout>
        <c:manualLayout>
          <c:xMode val="edge"/>
          <c:yMode val="edge"/>
          <c:x val="0.386648122392211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AD-442E-9251-CB41725E5AB3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3">
                  <c:v>0.16971999999805121</c:v>
                </c:pt>
                <c:pt idx="4">
                  <c:v>-6.8449999998847488E-2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AD-442E-9251-CB41725E5AB3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AD-442E-9251-CB41725E5AB3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  <c:pt idx="0">
                  <c:v>0</c:v>
                </c:pt>
                <c:pt idx="1">
                  <c:v>-5.2999999970779754E-3</c:v>
                </c:pt>
                <c:pt idx="2">
                  <c:v>7.5900000003457535E-2</c:v>
                </c:pt>
                <c:pt idx="5">
                  <c:v>-9.1019999999844003E-2</c:v>
                </c:pt>
                <c:pt idx="6">
                  <c:v>-9.0960000001359731E-2</c:v>
                </c:pt>
                <c:pt idx="7">
                  <c:v>-9.0790000002016313E-2</c:v>
                </c:pt>
                <c:pt idx="8">
                  <c:v>-9.0630000006058253E-2</c:v>
                </c:pt>
                <c:pt idx="9">
                  <c:v>3.7309999992430676E-2</c:v>
                </c:pt>
                <c:pt idx="10">
                  <c:v>3.9019999836455099E-2</c:v>
                </c:pt>
                <c:pt idx="11">
                  <c:v>-0.13629999999830034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AD-442E-9251-CB41725E5AB3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AD-442E-9251-CB41725E5AB3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AD-442E-9251-CB41725E5AB3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AD-442E-9251-CB41725E5AB3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4.7879105010461068E-2</c:v>
                </c:pt>
                <c:pt idx="1">
                  <c:v>4.7582249742026003E-2</c:v>
                </c:pt>
                <c:pt idx="2">
                  <c:v>1.2787687489136994E-2</c:v>
                </c:pt>
                <c:pt idx="3">
                  <c:v>-6.809968214742862E-3</c:v>
                </c:pt>
                <c:pt idx="4">
                  <c:v>-1.1783595957821594E-2</c:v>
                </c:pt>
                <c:pt idx="5">
                  <c:v>-4.1583698518969758E-2</c:v>
                </c:pt>
                <c:pt idx="6">
                  <c:v>-4.1583698518969758E-2</c:v>
                </c:pt>
                <c:pt idx="7">
                  <c:v>-4.1583698518969758E-2</c:v>
                </c:pt>
                <c:pt idx="8">
                  <c:v>-4.1583698518969758E-2</c:v>
                </c:pt>
                <c:pt idx="9">
                  <c:v>-4.7177076734746262E-2</c:v>
                </c:pt>
                <c:pt idx="10">
                  <c:v>-4.8072850527216979E-2</c:v>
                </c:pt>
                <c:pt idx="11">
                  <c:v>-7.9570756904327092E-2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AD-442E-9251-CB41725E5AB3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2'!$D$21:$D$50</c:f>
                <c:numCache>
                  <c:formatCode>General</c:formatCode>
                  <c:ptCount val="30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plus>
            <c:minus>
              <c:numRef>
                <c:f>'Active 2'!$D$21:$D$50</c:f>
                <c:numCache>
                  <c:formatCode>General</c:formatCode>
                  <c:ptCount val="30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AD-442E-9251-CB41725E5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289696"/>
        <c:axId val="1"/>
      </c:scatterChart>
      <c:valAx>
        <c:axId val="871289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1289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04867872044508"/>
          <c:y val="0.92397660818713445"/>
          <c:w val="0.6606397774687065"/>
          <c:h val="5.84795321637426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18</xdr:col>
      <xdr:colOff>28575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7A7ECFE0-B414-7323-B6C6-98DA4D247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18</xdr:col>
      <xdr:colOff>28575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67A9B04-26FD-CF8C-4A2A-4877CB28F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9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6" customWidth="1"/>
    <col min="2" max="2" width="3.85546875" customWidth="1"/>
    <col min="3" max="3" width="11.85546875" customWidth="1"/>
    <col min="4" max="4" width="12.1406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61" t="s">
        <v>52</v>
      </c>
    </row>
    <row r="2" spans="1:6" x14ac:dyDescent="0.2">
      <c r="A2" t="s">
        <v>23</v>
      </c>
      <c r="B2" t="s">
        <v>35</v>
      </c>
      <c r="C2" s="2"/>
      <c r="D2" s="2"/>
    </row>
    <row r="3" spans="1:6" ht="13.5" thickBot="1" x14ac:dyDescent="0.25"/>
    <row r="4" spans="1:6" ht="14.25" thickTop="1" thickBot="1" x14ac:dyDescent="0.25">
      <c r="A4" s="4" t="s">
        <v>0</v>
      </c>
      <c r="C4" s="7" t="s">
        <v>36</v>
      </c>
      <c r="D4" s="8" t="s">
        <v>36</v>
      </c>
    </row>
    <row r="5" spans="1:6" ht="13.5" thickTop="1" x14ac:dyDescent="0.2">
      <c r="A5" s="10" t="s">
        <v>29</v>
      </c>
      <c r="B5" s="11"/>
      <c r="C5" s="12">
        <v>-9.5</v>
      </c>
      <c r="D5" s="11" t="s">
        <v>30</v>
      </c>
    </row>
    <row r="6" spans="1:6" x14ac:dyDescent="0.2">
      <c r="A6" s="4" t="s">
        <v>1</v>
      </c>
    </row>
    <row r="7" spans="1:6" x14ac:dyDescent="0.2">
      <c r="A7" t="s">
        <v>2</v>
      </c>
      <c r="C7">
        <v>51286.851600000002</v>
      </c>
      <c r="D7" s="27" t="s">
        <v>27</v>
      </c>
    </row>
    <row r="8" spans="1:6" x14ac:dyDescent="0.2">
      <c r="A8" t="s">
        <v>3</v>
      </c>
      <c r="C8">
        <v>0.69620000000000004</v>
      </c>
      <c r="D8" s="28">
        <v>5060</v>
      </c>
    </row>
    <row r="9" spans="1:6" x14ac:dyDescent="0.2">
      <c r="A9" s="25" t="s">
        <v>34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6" x14ac:dyDescent="0.2">
      <c r="A11" s="11" t="s">
        <v>15</v>
      </c>
      <c r="B11" s="11"/>
      <c r="C11" s="22">
        <f ca="1">INTERCEPT(INDIRECT($D$9):G992,INDIRECT($C$9):F992)</f>
        <v>-1.579177452327446E-2</v>
      </c>
      <c r="D11" s="2"/>
      <c r="E11" s="11"/>
    </row>
    <row r="12" spans="1:6" x14ac:dyDescent="0.2">
      <c r="A12" s="11" t="s">
        <v>16</v>
      </c>
      <c r="B12" s="11"/>
      <c r="C12" s="22">
        <f ca="1">SLOPE(INDIRECT($D$9):G992,INDIRECT($C$9):F992)</f>
        <v>3.5743060353381106E-5</v>
      </c>
      <c r="D12" s="2"/>
      <c r="E12" s="11"/>
    </row>
    <row r="13" spans="1:6" x14ac:dyDescent="0.2">
      <c r="A13" s="11" t="s">
        <v>18</v>
      </c>
      <c r="B13" s="11"/>
      <c r="C13" s="2" t="s">
        <v>13</v>
      </c>
    </row>
    <row r="14" spans="1:6" x14ac:dyDescent="0.2">
      <c r="A14" s="11"/>
      <c r="B14" s="11"/>
      <c r="C14" s="11"/>
    </row>
    <row r="15" spans="1:6" x14ac:dyDescent="0.2">
      <c r="A15" s="13" t="s">
        <v>17</v>
      </c>
      <c r="B15" s="11"/>
      <c r="C15" s="14">
        <f ca="1">(C7+C11)+(C8+C12)*INT(MAX(F21:F3533))</f>
        <v>59795.532824166061</v>
      </c>
      <c r="E15" s="15" t="s">
        <v>41</v>
      </c>
      <c r="F15" s="12">
        <v>1</v>
      </c>
    </row>
    <row r="16" spans="1:6" x14ac:dyDescent="0.2">
      <c r="A16" s="17" t="s">
        <v>4</v>
      </c>
      <c r="B16" s="11"/>
      <c r="C16" s="18">
        <f ca="1">+C8+C12</f>
        <v>0.69623574306035341</v>
      </c>
      <c r="E16" s="15" t="s">
        <v>31</v>
      </c>
      <c r="F16" s="16">
        <f ca="1">NOW()+15018.5+$C$5/24</f>
        <v>60162.83597743055</v>
      </c>
    </row>
    <row r="17" spans="1:23" ht="13.5" thickBot="1" x14ac:dyDescent="0.25">
      <c r="A17" s="15" t="s">
        <v>28</v>
      </c>
      <c r="B17" s="11"/>
      <c r="C17" s="11">
        <f>COUNT(C21:C2191)</f>
        <v>12</v>
      </c>
      <c r="E17" s="15" t="s">
        <v>42</v>
      </c>
      <c r="F17" s="16">
        <f ca="1">ROUND(2*(F16-$C$7)/$C$8,0)/2+F15</f>
        <v>12750</v>
      </c>
    </row>
    <row r="18" spans="1:23" ht="14.25" thickTop="1" thickBot="1" x14ac:dyDescent="0.25">
      <c r="A18" s="17" t="s">
        <v>5</v>
      </c>
      <c r="B18" s="11"/>
      <c r="C18" s="20">
        <f ca="1">+C15</f>
        <v>59795.532824166061</v>
      </c>
      <c r="D18" s="21">
        <f ca="1">+C16</f>
        <v>0.69623574306035341</v>
      </c>
      <c r="E18" s="15" t="s">
        <v>32</v>
      </c>
      <c r="F18" s="24">
        <f ca="1">ROUND(2*(F16-$C$15)/$C$16,0)/2+F15</f>
        <v>528.5</v>
      </c>
    </row>
    <row r="19" spans="1:23" ht="13.5" thickTop="1" x14ac:dyDescent="0.2">
      <c r="E19" s="15" t="s">
        <v>33</v>
      </c>
      <c r="F19" s="19">
        <f ca="1">+$C$15+$C$16*F18-15018.5-$C$5/24</f>
        <v>45145.389247706793</v>
      </c>
    </row>
    <row r="20" spans="1:23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46</v>
      </c>
      <c r="I20" s="6" t="s">
        <v>47</v>
      </c>
      <c r="J20" s="6" t="s">
        <v>48</v>
      </c>
      <c r="K20" s="6" t="s">
        <v>49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38" t="s">
        <v>44</v>
      </c>
    </row>
    <row r="21" spans="1:23" s="51" customFormat="1" ht="12" customHeight="1" x14ac:dyDescent="0.2">
      <c r="A21" s="34" t="s">
        <v>37</v>
      </c>
      <c r="B21" s="35" t="s">
        <v>39</v>
      </c>
      <c r="C21" s="34">
        <v>51286.851600000002</v>
      </c>
      <c r="D21" s="34">
        <v>1.4E-3</v>
      </c>
      <c r="E21" s="50">
        <f t="shared" ref="E21:E30" si="0">+(C21-C$7)/C$8</f>
        <v>0</v>
      </c>
      <c r="F21" s="50">
        <f>ROUND(2*E21,0)/2</f>
        <v>0</v>
      </c>
      <c r="G21" s="50">
        <f t="shared" ref="G21:G30" si="1">+C21-(C$7+F21*C$8)</f>
        <v>0</v>
      </c>
      <c r="I21" s="50"/>
      <c r="K21" s="50">
        <f>+G21</f>
        <v>0</v>
      </c>
      <c r="O21" s="51">
        <f t="shared" ref="O21:O32" ca="1" si="2">+C$11+C$12*$F21</f>
        <v>-1.579177452327446E-2</v>
      </c>
      <c r="Q21" s="52">
        <f t="shared" ref="Q21:Q30" si="3">+C21-15018.5</f>
        <v>36268.351600000002</v>
      </c>
    </row>
    <row r="22" spans="1:23" s="51" customFormat="1" ht="12" customHeight="1" x14ac:dyDescent="0.2">
      <c r="A22" s="29" t="s">
        <v>37</v>
      </c>
      <c r="B22" s="30" t="s">
        <v>40</v>
      </c>
      <c r="C22" s="29">
        <v>51306.688000000002</v>
      </c>
      <c r="D22" s="29">
        <v>5.0000000000000001E-3</v>
      </c>
      <c r="E22" s="53">
        <f t="shared" si="0"/>
        <v>28.492387245044725</v>
      </c>
      <c r="F22" s="53">
        <f>ROUND(2*E22,0)/2</f>
        <v>28.5</v>
      </c>
      <c r="G22" s="53">
        <f t="shared" si="1"/>
        <v>-5.2999999970779754E-3</v>
      </c>
      <c r="I22" s="53"/>
      <c r="K22" s="53">
        <f>+G22</f>
        <v>-5.2999999970779754E-3</v>
      </c>
      <c r="O22" s="51">
        <f t="shared" ca="1" si="2"/>
        <v>-1.4773097303203099E-2</v>
      </c>
      <c r="Q22" s="52">
        <f t="shared" si="3"/>
        <v>36288.188000000002</v>
      </c>
    </row>
    <row r="23" spans="1:23" s="51" customFormat="1" ht="12" customHeight="1" x14ac:dyDescent="0.2">
      <c r="A23" s="32" t="s">
        <v>37</v>
      </c>
      <c r="B23" s="32"/>
      <c r="C23" s="33">
        <v>53632.425300000003</v>
      </c>
      <c r="D23" s="33">
        <v>8.0000000000000004E-4</v>
      </c>
      <c r="E23" s="53">
        <f t="shared" si="0"/>
        <v>3369.1090203964386</v>
      </c>
      <c r="F23" s="53">
        <f>ROUND(2*E23,0)/2</f>
        <v>3369</v>
      </c>
      <c r="G23" s="53">
        <f t="shared" si="1"/>
        <v>7.5900000003457535E-2</v>
      </c>
      <c r="I23" s="53"/>
      <c r="K23" s="53">
        <f>+G23</f>
        <v>7.5900000003457535E-2</v>
      </c>
      <c r="O23" s="51">
        <f t="shared" ca="1" si="2"/>
        <v>0.10462659580726649</v>
      </c>
      <c r="Q23" s="52">
        <f t="shared" si="3"/>
        <v>38613.925300000003</v>
      </c>
      <c r="W23" s="51" t="s">
        <v>38</v>
      </c>
    </row>
    <row r="24" spans="1:23" s="51" customFormat="1" ht="12" customHeight="1" x14ac:dyDescent="0.2">
      <c r="A24" s="54" t="s">
        <v>43</v>
      </c>
      <c r="B24" s="55" t="s">
        <v>39</v>
      </c>
      <c r="C24" s="56">
        <v>54942.419419999998</v>
      </c>
      <c r="D24" s="56">
        <v>0.02</v>
      </c>
      <c r="E24" s="53">
        <f t="shared" si="0"/>
        <v>5250.7437805228328</v>
      </c>
      <c r="F24" s="53">
        <f>ROUND(2*E24,0)/2</f>
        <v>5250.5</v>
      </c>
      <c r="G24" s="53">
        <f t="shared" si="1"/>
        <v>0.16971999999805121</v>
      </c>
      <c r="I24" s="53">
        <f>+G24</f>
        <v>0.16971999999805121</v>
      </c>
      <c r="O24" s="51">
        <f t="shared" ca="1" si="2"/>
        <v>0.17187716386215304</v>
      </c>
      <c r="Q24" s="52">
        <f t="shared" si="3"/>
        <v>39923.919419999998</v>
      </c>
    </row>
    <row r="25" spans="1:23" s="51" customFormat="1" ht="12" customHeight="1" x14ac:dyDescent="0.2">
      <c r="A25" s="54" t="s">
        <v>43</v>
      </c>
      <c r="B25" s="55" t="s">
        <v>39</v>
      </c>
      <c r="C25" s="56">
        <v>55274.616750000001</v>
      </c>
      <c r="D25" s="56">
        <v>0.05</v>
      </c>
      <c r="E25" s="53">
        <f t="shared" si="0"/>
        <v>5727.9016805515639</v>
      </c>
      <c r="F25" s="53">
        <f>ROUND(2*E25,0)/2</f>
        <v>5728</v>
      </c>
      <c r="I25" s="53"/>
      <c r="O25" s="51">
        <f t="shared" ca="1" si="2"/>
        <v>0.18894447518089252</v>
      </c>
      <c r="Q25" s="52">
        <f t="shared" si="3"/>
        <v>40256.116750000001</v>
      </c>
      <c r="U25" s="53">
        <f>+C25-(C$7+F25*C$8)</f>
        <v>-6.8449999998847488E-2</v>
      </c>
    </row>
    <row r="26" spans="1:23" s="51" customFormat="1" ht="12" customHeight="1" x14ac:dyDescent="0.2">
      <c r="A26" s="42" t="s">
        <v>45</v>
      </c>
      <c r="B26" s="43" t="s">
        <v>39</v>
      </c>
      <c r="C26" s="44">
        <v>57266.422380000004</v>
      </c>
      <c r="D26" s="44">
        <v>2.0000000000000001E-4</v>
      </c>
      <c r="E26" s="53">
        <f t="shared" si="0"/>
        <v>8588.869261706408</v>
      </c>
      <c r="F26" s="57">
        <f t="shared" ref="F26:F31" si="4">ROUND(2*E26,0)/2-0.5</f>
        <v>8588.5</v>
      </c>
      <c r="G26" s="53">
        <f t="shared" si="1"/>
        <v>0.2570800000030431</v>
      </c>
      <c r="K26" s="53">
        <f t="shared" ref="K26:K31" si="5">+G26</f>
        <v>0.2570800000030431</v>
      </c>
      <c r="O26" s="51">
        <f t="shared" ca="1" si="2"/>
        <v>0.29118749932173915</v>
      </c>
      <c r="Q26" s="52">
        <f t="shared" si="3"/>
        <v>42247.922380000004</v>
      </c>
    </row>
    <row r="27" spans="1:23" s="51" customFormat="1" ht="12" customHeight="1" x14ac:dyDescent="0.2">
      <c r="A27" s="42" t="s">
        <v>45</v>
      </c>
      <c r="B27" s="43" t="s">
        <v>39</v>
      </c>
      <c r="C27" s="44">
        <v>57266.422440000002</v>
      </c>
      <c r="D27" s="44">
        <v>2.0000000000000001E-4</v>
      </c>
      <c r="E27" s="53">
        <f t="shared" si="0"/>
        <v>8588.869347888538</v>
      </c>
      <c r="F27" s="57">
        <f t="shared" si="4"/>
        <v>8588.5</v>
      </c>
      <c r="G27" s="53">
        <f t="shared" si="1"/>
        <v>0.25714000000152737</v>
      </c>
      <c r="K27" s="53">
        <f t="shared" si="5"/>
        <v>0.25714000000152737</v>
      </c>
      <c r="O27" s="51">
        <f t="shared" ca="1" si="2"/>
        <v>0.29118749932173915</v>
      </c>
      <c r="Q27" s="52">
        <f t="shared" si="3"/>
        <v>42247.922440000002</v>
      </c>
    </row>
    <row r="28" spans="1:23" s="51" customFormat="1" ht="12" customHeight="1" x14ac:dyDescent="0.2">
      <c r="A28" s="42" t="s">
        <v>45</v>
      </c>
      <c r="B28" s="43" t="s">
        <v>39</v>
      </c>
      <c r="C28" s="44">
        <v>57266.422610000001</v>
      </c>
      <c r="D28" s="44">
        <v>2.0000000000000001E-4</v>
      </c>
      <c r="E28" s="53">
        <f t="shared" si="0"/>
        <v>8588.8695920712435</v>
      </c>
      <c r="F28" s="57">
        <f t="shared" si="4"/>
        <v>8588.5</v>
      </c>
      <c r="G28" s="53">
        <f t="shared" si="1"/>
        <v>0.25731000000087079</v>
      </c>
      <c r="K28" s="53">
        <f t="shared" si="5"/>
        <v>0.25731000000087079</v>
      </c>
      <c r="O28" s="51">
        <f t="shared" ca="1" si="2"/>
        <v>0.29118749932173915</v>
      </c>
      <c r="Q28" s="52">
        <f t="shared" si="3"/>
        <v>42247.922610000001</v>
      </c>
    </row>
    <row r="29" spans="1:23" s="51" customFormat="1" ht="12" customHeight="1" x14ac:dyDescent="0.2">
      <c r="A29" s="42" t="s">
        <v>45</v>
      </c>
      <c r="B29" s="43" t="s">
        <v>39</v>
      </c>
      <c r="C29" s="44">
        <v>57266.422769999997</v>
      </c>
      <c r="D29" s="44">
        <v>2.0000000000000001E-4</v>
      </c>
      <c r="E29" s="53">
        <f t="shared" si="0"/>
        <v>8588.8698218902555</v>
      </c>
      <c r="F29" s="57">
        <f t="shared" si="4"/>
        <v>8588.5</v>
      </c>
      <c r="G29" s="53">
        <f t="shared" si="1"/>
        <v>0.25746999999682885</v>
      </c>
      <c r="K29" s="53">
        <f t="shared" si="5"/>
        <v>0.25746999999682885</v>
      </c>
      <c r="O29" s="51">
        <f t="shared" ca="1" si="2"/>
        <v>0.29118749932173915</v>
      </c>
      <c r="Q29" s="52">
        <f t="shared" si="3"/>
        <v>42247.922769999997</v>
      </c>
    </row>
    <row r="30" spans="1:23" s="51" customFormat="1" ht="12" customHeight="1" x14ac:dyDescent="0.2">
      <c r="A30" s="42" t="s">
        <v>45</v>
      </c>
      <c r="B30" s="43" t="s">
        <v>39</v>
      </c>
      <c r="C30" s="44">
        <v>57640.410109999997</v>
      </c>
      <c r="D30" s="44">
        <v>5.9999999999999995E-4</v>
      </c>
      <c r="E30" s="53">
        <f t="shared" si="0"/>
        <v>9126.0535909221417</v>
      </c>
      <c r="F30" s="57">
        <f t="shared" si="4"/>
        <v>9125.5</v>
      </c>
      <c r="G30" s="53">
        <f t="shared" si="1"/>
        <v>0.38540999999531778</v>
      </c>
      <c r="K30" s="53">
        <f t="shared" si="5"/>
        <v>0.38540999999531778</v>
      </c>
      <c r="O30" s="51">
        <f t="shared" ca="1" si="2"/>
        <v>0.31038152273150482</v>
      </c>
      <c r="Q30" s="52">
        <f t="shared" si="3"/>
        <v>42621.910109999997</v>
      </c>
    </row>
    <row r="31" spans="1:23" s="51" customFormat="1" ht="12" customHeight="1" x14ac:dyDescent="0.2">
      <c r="A31" s="45" t="s">
        <v>50</v>
      </c>
      <c r="B31" s="46" t="s">
        <v>39</v>
      </c>
      <c r="C31" s="47">
        <v>57700.285019999836</v>
      </c>
      <c r="D31" s="47">
        <v>4.0000000000000002E-4</v>
      </c>
      <c r="E31" s="53">
        <f>+(C31-C$7)/C$8</f>
        <v>9212.0560471126591</v>
      </c>
      <c r="F31" s="57">
        <f t="shared" si="4"/>
        <v>9211.5</v>
      </c>
      <c r="G31" s="53">
        <f>+C31-(C$7+F31*C$8)</f>
        <v>0.38711999983206624</v>
      </c>
      <c r="K31" s="53">
        <f t="shared" si="5"/>
        <v>0.38711999983206624</v>
      </c>
      <c r="O31" s="51">
        <f t="shared" ca="1" si="2"/>
        <v>0.31345542592189563</v>
      </c>
      <c r="Q31" s="52">
        <f>+C31-15018.5</f>
        <v>42681.785019999836</v>
      </c>
    </row>
    <row r="32" spans="1:23" s="51" customFormat="1" ht="12" customHeight="1" x14ac:dyDescent="0.2">
      <c r="A32" s="48" t="s">
        <v>53</v>
      </c>
      <c r="B32" s="49" t="s">
        <v>39</v>
      </c>
      <c r="C32" s="58">
        <v>59795.525500000003</v>
      </c>
      <c r="D32" s="59">
        <v>4.0000000000000002E-4</v>
      </c>
      <c r="E32" s="53">
        <f>+(C32-C$7)/C$8</f>
        <v>12221.594225797186</v>
      </c>
      <c r="F32" s="57">
        <f t="shared" ref="F32" si="6">ROUND(2*E32,0)/2-0.5</f>
        <v>12221</v>
      </c>
      <c r="G32" s="53">
        <f>+C32-(C$7+F32*C$8)</f>
        <v>0.41370000000461005</v>
      </c>
      <c r="K32" s="53">
        <f t="shared" ref="K32" si="7">+G32</f>
        <v>0.41370000000461005</v>
      </c>
      <c r="O32" s="51">
        <f t="shared" ca="1" si="2"/>
        <v>0.42102416605539605</v>
      </c>
      <c r="Q32" s="52">
        <f>+C32-15018.5</f>
        <v>44777.025500000003</v>
      </c>
    </row>
    <row r="33" spans="3:4" s="51" customFormat="1" ht="12" customHeight="1" x14ac:dyDescent="0.2">
      <c r="C33" s="60"/>
      <c r="D33" s="60"/>
    </row>
    <row r="34" spans="3:4" s="51" customFormat="1" ht="12" customHeight="1" x14ac:dyDescent="0.2"/>
    <row r="35" spans="3:4" s="51" customFormat="1" ht="12" customHeight="1" x14ac:dyDescent="0.2">
      <c r="C35" s="60"/>
      <c r="D35" s="60"/>
    </row>
    <row r="36" spans="3:4" s="51" customFormat="1" ht="12" customHeight="1" x14ac:dyDescent="0.2">
      <c r="C36" s="60"/>
      <c r="D36" s="60"/>
    </row>
    <row r="37" spans="3:4" s="51" customFormat="1" ht="12" customHeight="1" x14ac:dyDescent="0.2">
      <c r="C37" s="60"/>
      <c r="D37" s="60"/>
    </row>
    <row r="38" spans="3:4" s="51" customFormat="1" ht="12" customHeight="1" x14ac:dyDescent="0.2">
      <c r="C38" s="60"/>
      <c r="D38" s="60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rotectedRanges>
    <protectedRange sqref="A31:D31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39"/>
  <sheetViews>
    <sheetView workbookViewId="0">
      <selection activeCell="G43" sqref="G43"/>
    </sheetView>
  </sheetViews>
  <sheetFormatPr defaultColWidth="10.28515625" defaultRowHeight="12.75" x14ac:dyDescent="0.2"/>
  <cols>
    <col min="1" max="1" width="15.85546875" customWidth="1"/>
    <col min="2" max="2" width="3.85546875" customWidth="1"/>
    <col min="3" max="3" width="11.85546875" customWidth="1"/>
    <col min="4" max="4" width="12.1406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61" t="s">
        <v>52</v>
      </c>
    </row>
    <row r="2" spans="1:6" x14ac:dyDescent="0.2">
      <c r="A2" t="s">
        <v>23</v>
      </c>
      <c r="B2" t="s">
        <v>35</v>
      </c>
      <c r="C2" s="2"/>
      <c r="D2" s="2"/>
    </row>
    <row r="3" spans="1:6" ht="13.5" thickBot="1" x14ac:dyDescent="0.25"/>
    <row r="4" spans="1:6" ht="14.25" thickTop="1" thickBot="1" x14ac:dyDescent="0.25">
      <c r="A4" s="4" t="s">
        <v>0</v>
      </c>
      <c r="C4" s="7" t="s">
        <v>36</v>
      </c>
      <c r="D4" s="8" t="s">
        <v>36</v>
      </c>
    </row>
    <row r="5" spans="1:6" ht="13.5" thickTop="1" x14ac:dyDescent="0.2">
      <c r="A5" s="10" t="s">
        <v>29</v>
      </c>
      <c r="B5" s="11"/>
      <c r="C5" s="12">
        <v>-9.5</v>
      </c>
      <c r="D5" s="11" t="s">
        <v>30</v>
      </c>
    </row>
    <row r="6" spans="1:6" x14ac:dyDescent="0.2">
      <c r="A6" s="4" t="s">
        <v>1</v>
      </c>
    </row>
    <row r="7" spans="1:6" x14ac:dyDescent="0.2">
      <c r="A7" t="s">
        <v>2</v>
      </c>
      <c r="C7">
        <v>51286.851600000002</v>
      </c>
      <c r="D7" s="27" t="s">
        <v>27</v>
      </c>
    </row>
    <row r="8" spans="1:6" x14ac:dyDescent="0.2">
      <c r="A8" t="s">
        <v>3</v>
      </c>
      <c r="C8">
        <v>0.69620000000000004</v>
      </c>
      <c r="D8" s="28">
        <v>5060</v>
      </c>
    </row>
    <row r="9" spans="1:6" x14ac:dyDescent="0.2">
      <c r="A9" s="25" t="s">
        <v>34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6" x14ac:dyDescent="0.2">
      <c r="A11" s="11" t="s">
        <v>15</v>
      </c>
      <c r="B11" s="11"/>
      <c r="C11" s="22">
        <f ca="1">INTERCEPT(INDIRECT($D$9):G992,INDIRECT($C$9):F992)</f>
        <v>4.7879105010461068E-2</v>
      </c>
      <c r="D11" s="2"/>
      <c r="E11" s="11"/>
    </row>
    <row r="12" spans="1:6" x14ac:dyDescent="0.2">
      <c r="A12" s="11" t="s">
        <v>16</v>
      </c>
      <c r="B12" s="11"/>
      <c r="C12" s="22">
        <f ca="1">SLOPE(INDIRECT($D$9):G992,INDIRECT($C$9):F992)</f>
        <v>-1.0415974331054934E-5</v>
      </c>
      <c r="D12" s="2"/>
      <c r="E12" s="11"/>
    </row>
    <row r="13" spans="1:6" x14ac:dyDescent="0.2">
      <c r="A13" s="11" t="s">
        <v>18</v>
      </c>
      <c r="B13" s="11"/>
      <c r="C13" s="2" t="s">
        <v>13</v>
      </c>
    </row>
    <row r="14" spans="1:6" x14ac:dyDescent="0.2">
      <c r="A14" s="11"/>
      <c r="B14" s="11"/>
      <c r="C14" s="11"/>
    </row>
    <row r="15" spans="1:6" x14ac:dyDescent="0.2">
      <c r="A15" s="13" t="s">
        <v>17</v>
      </c>
      <c r="B15" s="11"/>
      <c r="C15" s="14">
        <f ca="1">(C7+C11)+(C8+C12)*INT(MAX(F21:F3533))</f>
        <v>59805.4752292431</v>
      </c>
      <c r="E15" s="15" t="s">
        <v>41</v>
      </c>
      <c r="F15" s="12">
        <v>1</v>
      </c>
    </row>
    <row r="16" spans="1:6" x14ac:dyDescent="0.2">
      <c r="A16" s="17" t="s">
        <v>4</v>
      </c>
      <c r="B16" s="11"/>
      <c r="C16" s="18">
        <f ca="1">+C8+C12</f>
        <v>0.69618958402566899</v>
      </c>
      <c r="E16" s="15" t="s">
        <v>31</v>
      </c>
      <c r="F16" s="16">
        <f ca="1">NOW()+15018.5+$C$5/24</f>
        <v>60162.83597743055</v>
      </c>
    </row>
    <row r="17" spans="1:23" ht="13.5" thickBot="1" x14ac:dyDescent="0.25">
      <c r="A17" s="15" t="s">
        <v>28</v>
      </c>
      <c r="B17" s="11"/>
      <c r="C17" s="11">
        <f>COUNT(C21:C2191)</f>
        <v>12</v>
      </c>
      <c r="E17" s="15" t="s">
        <v>42</v>
      </c>
      <c r="F17" s="16">
        <f ca="1">ROUND(2*(F16-$C$7)/$C$8,0)/2+F15</f>
        <v>12750</v>
      </c>
    </row>
    <row r="18" spans="1:23" ht="14.25" thickTop="1" thickBot="1" x14ac:dyDescent="0.25">
      <c r="A18" s="17" t="s">
        <v>5</v>
      </c>
      <c r="B18" s="11"/>
      <c r="C18" s="20">
        <f ca="1">+C15</f>
        <v>59805.4752292431</v>
      </c>
      <c r="D18" s="21">
        <f ca="1">+C16</f>
        <v>0.69618958402566899</v>
      </c>
      <c r="E18" s="15" t="s">
        <v>32</v>
      </c>
      <c r="F18" s="24">
        <f ca="1">ROUND(2*(F16-$C$15)/$C$16,0)/2+F15</f>
        <v>514.5</v>
      </c>
    </row>
    <row r="19" spans="1:23" ht="13.5" thickTop="1" x14ac:dyDescent="0.2">
      <c r="E19" s="15" t="s">
        <v>33</v>
      </c>
      <c r="F19" s="19">
        <f ca="1">+$C$15+$C$16*F18-15018.5-$C$5/24</f>
        <v>45145.560603557642</v>
      </c>
    </row>
    <row r="20" spans="1:23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46</v>
      </c>
      <c r="I20" s="6" t="s">
        <v>47</v>
      </c>
      <c r="J20" s="6" t="s">
        <v>48</v>
      </c>
      <c r="K20" s="6" t="s">
        <v>49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38" t="s">
        <v>44</v>
      </c>
    </row>
    <row r="21" spans="1:23" ht="12" customHeight="1" x14ac:dyDescent="0.2">
      <c r="A21" s="34" t="s">
        <v>37</v>
      </c>
      <c r="B21" s="35" t="s">
        <v>39</v>
      </c>
      <c r="C21" s="34">
        <v>51286.851600000002</v>
      </c>
      <c r="D21" s="34">
        <v>1.4E-3</v>
      </c>
      <c r="E21" s="36">
        <f t="shared" ref="E21:E30" si="0">+(C21-C$7)/C$8</f>
        <v>0</v>
      </c>
      <c r="F21" s="36">
        <f t="shared" ref="F21:F30" si="1">ROUND(2*E21,0)/2</f>
        <v>0</v>
      </c>
      <c r="G21" s="36">
        <f t="shared" ref="G21:G30" si="2">+C21-(C$7+F21*C$8)</f>
        <v>0</v>
      </c>
      <c r="I21" s="36"/>
      <c r="K21" s="36">
        <f>+G21</f>
        <v>0</v>
      </c>
      <c r="O21">
        <f t="shared" ref="O21:O30" ca="1" si="3">+C$11+C$12*$F21</f>
        <v>4.7879105010461068E-2</v>
      </c>
      <c r="Q21" s="1">
        <f t="shared" ref="Q21:Q30" si="4">+C21-15018.5</f>
        <v>36268.351600000002</v>
      </c>
    </row>
    <row r="22" spans="1:23" ht="12" customHeight="1" x14ac:dyDescent="0.2">
      <c r="A22" s="29" t="s">
        <v>37</v>
      </c>
      <c r="B22" s="30" t="s">
        <v>40</v>
      </c>
      <c r="C22" s="29">
        <v>51306.688000000002</v>
      </c>
      <c r="D22" s="29">
        <v>5.0000000000000001E-3</v>
      </c>
      <c r="E22" s="31">
        <f t="shared" si="0"/>
        <v>28.492387245044725</v>
      </c>
      <c r="F22" s="31">
        <f t="shared" si="1"/>
        <v>28.5</v>
      </c>
      <c r="G22" s="31">
        <f t="shared" si="2"/>
        <v>-5.2999999970779754E-3</v>
      </c>
      <c r="I22" s="31"/>
      <c r="K22" s="31">
        <f>+G22</f>
        <v>-5.2999999970779754E-3</v>
      </c>
      <c r="O22">
        <f t="shared" ca="1" si="3"/>
        <v>4.7582249742026003E-2</v>
      </c>
      <c r="Q22" s="1">
        <f t="shared" si="4"/>
        <v>36288.188000000002</v>
      </c>
    </row>
    <row r="23" spans="1:23" ht="12" customHeight="1" x14ac:dyDescent="0.2">
      <c r="A23" s="32" t="s">
        <v>37</v>
      </c>
      <c r="B23" s="32"/>
      <c r="C23" s="33">
        <v>53632.425300000003</v>
      </c>
      <c r="D23" s="33">
        <v>8.0000000000000004E-4</v>
      </c>
      <c r="E23" s="31">
        <f t="shared" si="0"/>
        <v>3369.1090203964386</v>
      </c>
      <c r="F23" s="31">
        <f t="shared" si="1"/>
        <v>3369</v>
      </c>
      <c r="G23" s="31">
        <f t="shared" si="2"/>
        <v>7.5900000003457535E-2</v>
      </c>
      <c r="I23" s="31"/>
      <c r="K23" s="31">
        <f>+G23</f>
        <v>7.5900000003457535E-2</v>
      </c>
      <c r="O23">
        <f t="shared" ca="1" si="3"/>
        <v>1.2787687489136994E-2</v>
      </c>
      <c r="Q23" s="1">
        <f t="shared" si="4"/>
        <v>38613.925300000003</v>
      </c>
      <c r="W23" t="s">
        <v>38</v>
      </c>
    </row>
    <row r="24" spans="1:23" ht="12" customHeight="1" x14ac:dyDescent="0.2">
      <c r="A24" s="39" t="s">
        <v>43</v>
      </c>
      <c r="B24" s="40" t="s">
        <v>39</v>
      </c>
      <c r="C24" s="41">
        <v>54942.419419999998</v>
      </c>
      <c r="D24" s="41">
        <v>0.02</v>
      </c>
      <c r="E24" s="31">
        <f t="shared" si="0"/>
        <v>5250.7437805228328</v>
      </c>
      <c r="F24" s="31">
        <f t="shared" si="1"/>
        <v>5250.5</v>
      </c>
      <c r="G24" s="31">
        <f t="shared" si="2"/>
        <v>0.16971999999805121</v>
      </c>
      <c r="I24" s="31">
        <f>+G24</f>
        <v>0.16971999999805121</v>
      </c>
      <c r="O24">
        <f t="shared" ca="1" si="3"/>
        <v>-6.809968214742862E-3</v>
      </c>
      <c r="Q24" s="1">
        <f t="shared" si="4"/>
        <v>39923.919419999998</v>
      </c>
    </row>
    <row r="25" spans="1:23" ht="12" customHeight="1" x14ac:dyDescent="0.2">
      <c r="A25" s="39" t="s">
        <v>43</v>
      </c>
      <c r="B25" s="40" t="s">
        <v>39</v>
      </c>
      <c r="C25" s="41">
        <v>55274.616750000001</v>
      </c>
      <c r="D25" s="41">
        <v>0.05</v>
      </c>
      <c r="E25" s="31">
        <f t="shared" si="0"/>
        <v>5727.9016805515639</v>
      </c>
      <c r="F25" s="31">
        <f t="shared" si="1"/>
        <v>5728</v>
      </c>
      <c r="G25" s="31">
        <f t="shared" si="2"/>
        <v>-6.8449999998847488E-2</v>
      </c>
      <c r="I25" s="31">
        <f>+G25</f>
        <v>-6.8449999998847488E-2</v>
      </c>
      <c r="O25">
        <f t="shared" ca="1" si="3"/>
        <v>-1.1783595957821594E-2</v>
      </c>
      <c r="Q25" s="1">
        <f t="shared" si="4"/>
        <v>40256.116750000001</v>
      </c>
      <c r="U25" s="37"/>
    </row>
    <row r="26" spans="1:23" ht="12" customHeight="1" x14ac:dyDescent="0.2">
      <c r="A26" s="42" t="s">
        <v>45</v>
      </c>
      <c r="B26" s="43" t="s">
        <v>39</v>
      </c>
      <c r="C26" s="44">
        <v>57266.422380000004</v>
      </c>
      <c r="D26" s="44">
        <v>2.0000000000000001E-4</v>
      </c>
      <c r="E26" s="31">
        <f t="shared" si="0"/>
        <v>8588.869261706408</v>
      </c>
      <c r="F26" s="31">
        <f t="shared" si="1"/>
        <v>8589</v>
      </c>
      <c r="G26" s="31">
        <f t="shared" si="2"/>
        <v>-9.1019999999844003E-2</v>
      </c>
      <c r="K26" s="31">
        <f>+G26</f>
        <v>-9.1019999999844003E-2</v>
      </c>
      <c r="O26">
        <f t="shared" ca="1" si="3"/>
        <v>-4.1583698518969758E-2</v>
      </c>
      <c r="Q26" s="1">
        <f t="shared" si="4"/>
        <v>42247.922380000004</v>
      </c>
    </row>
    <row r="27" spans="1:23" ht="12" customHeight="1" x14ac:dyDescent="0.2">
      <c r="A27" s="42" t="s">
        <v>45</v>
      </c>
      <c r="B27" s="43" t="s">
        <v>39</v>
      </c>
      <c r="C27" s="44">
        <v>57266.422440000002</v>
      </c>
      <c r="D27" s="44">
        <v>2.0000000000000001E-4</v>
      </c>
      <c r="E27" s="31">
        <f t="shared" si="0"/>
        <v>8588.869347888538</v>
      </c>
      <c r="F27" s="31">
        <f t="shared" si="1"/>
        <v>8589</v>
      </c>
      <c r="G27" s="31">
        <f t="shared" si="2"/>
        <v>-9.0960000001359731E-2</v>
      </c>
      <c r="K27" s="31">
        <f>+G27</f>
        <v>-9.0960000001359731E-2</v>
      </c>
      <c r="O27">
        <f t="shared" ca="1" si="3"/>
        <v>-4.1583698518969758E-2</v>
      </c>
      <c r="Q27" s="1">
        <f t="shared" si="4"/>
        <v>42247.922440000002</v>
      </c>
    </row>
    <row r="28" spans="1:23" ht="12" customHeight="1" x14ac:dyDescent="0.2">
      <c r="A28" s="42" t="s">
        <v>45</v>
      </c>
      <c r="B28" s="43" t="s">
        <v>39</v>
      </c>
      <c r="C28" s="44">
        <v>57266.422610000001</v>
      </c>
      <c r="D28" s="44">
        <v>2.0000000000000001E-4</v>
      </c>
      <c r="E28" s="31">
        <f t="shared" si="0"/>
        <v>8588.8695920712435</v>
      </c>
      <c r="F28" s="31">
        <f t="shared" si="1"/>
        <v>8589</v>
      </c>
      <c r="G28" s="31">
        <f t="shared" si="2"/>
        <v>-9.0790000002016313E-2</v>
      </c>
      <c r="K28" s="31">
        <f>+G28</f>
        <v>-9.0790000002016313E-2</v>
      </c>
      <c r="O28">
        <f t="shared" ca="1" si="3"/>
        <v>-4.1583698518969758E-2</v>
      </c>
      <c r="Q28" s="1">
        <f t="shared" si="4"/>
        <v>42247.922610000001</v>
      </c>
    </row>
    <row r="29" spans="1:23" ht="12" customHeight="1" x14ac:dyDescent="0.2">
      <c r="A29" s="42" t="s">
        <v>45</v>
      </c>
      <c r="B29" s="43" t="s">
        <v>39</v>
      </c>
      <c r="C29" s="44">
        <v>57266.422769999997</v>
      </c>
      <c r="D29" s="44">
        <v>2.0000000000000001E-4</v>
      </c>
      <c r="E29" s="31">
        <f t="shared" si="0"/>
        <v>8588.8698218902555</v>
      </c>
      <c r="F29" s="31">
        <f t="shared" si="1"/>
        <v>8589</v>
      </c>
      <c r="G29" s="31">
        <f t="shared" si="2"/>
        <v>-9.0630000006058253E-2</v>
      </c>
      <c r="K29" s="31">
        <f>+G29</f>
        <v>-9.0630000006058253E-2</v>
      </c>
      <c r="O29">
        <f t="shared" ca="1" si="3"/>
        <v>-4.1583698518969758E-2</v>
      </c>
      <c r="Q29" s="1">
        <f t="shared" si="4"/>
        <v>42247.922769999997</v>
      </c>
    </row>
    <row r="30" spans="1:23" ht="12" customHeight="1" x14ac:dyDescent="0.2">
      <c r="A30" s="42" t="s">
        <v>45</v>
      </c>
      <c r="B30" s="43" t="s">
        <v>39</v>
      </c>
      <c r="C30" s="44">
        <v>57640.410109999997</v>
      </c>
      <c r="D30" s="44">
        <v>5.9999999999999995E-4</v>
      </c>
      <c r="E30" s="31">
        <f t="shared" si="0"/>
        <v>9126.0535909221417</v>
      </c>
      <c r="F30" s="31">
        <f t="shared" si="1"/>
        <v>9126</v>
      </c>
      <c r="G30" s="31">
        <f t="shared" si="2"/>
        <v>3.7309999992430676E-2</v>
      </c>
      <c r="K30" s="31">
        <f>+G30</f>
        <v>3.7309999992430676E-2</v>
      </c>
      <c r="O30">
        <f t="shared" ca="1" si="3"/>
        <v>-4.7177076734746262E-2</v>
      </c>
      <c r="Q30" s="1">
        <f t="shared" si="4"/>
        <v>42621.910109999997</v>
      </c>
    </row>
    <row r="31" spans="1:23" ht="12" customHeight="1" x14ac:dyDescent="0.2">
      <c r="A31" s="45" t="s">
        <v>50</v>
      </c>
      <c r="B31" s="46" t="s">
        <v>39</v>
      </c>
      <c r="C31" s="47">
        <v>57700.285019999836</v>
      </c>
      <c r="D31" s="47">
        <v>4.0000000000000002E-4</v>
      </c>
      <c r="E31" s="31">
        <f t="shared" ref="E31:E32" si="5">+(C31-C$7)/C$8</f>
        <v>9212.0560471126591</v>
      </c>
      <c r="F31" s="31">
        <f t="shared" ref="F31:F32" si="6">ROUND(2*E31,0)/2</f>
        <v>9212</v>
      </c>
      <c r="G31" s="31">
        <f t="shared" ref="G31:G32" si="7">+C31-(C$7+F31*C$8)</f>
        <v>3.9019999836455099E-2</v>
      </c>
      <c r="K31" s="31">
        <f t="shared" ref="K31:K32" si="8">+G31</f>
        <v>3.9019999836455099E-2</v>
      </c>
      <c r="O31">
        <f t="shared" ref="O31:O32" ca="1" si="9">+C$11+C$12*$F31</f>
        <v>-4.8072850527216979E-2</v>
      </c>
      <c r="Q31" s="1">
        <f t="shared" ref="Q31:Q32" si="10">+C31-15018.5</f>
        <v>42681.785019999836</v>
      </c>
    </row>
    <row r="32" spans="1:23" ht="12" customHeight="1" x14ac:dyDescent="0.2">
      <c r="A32" s="48" t="s">
        <v>51</v>
      </c>
      <c r="B32" s="49" t="s">
        <v>39</v>
      </c>
      <c r="C32" s="58">
        <v>59805.4185</v>
      </c>
      <c r="D32" s="59">
        <v>1E-4</v>
      </c>
      <c r="E32" s="31">
        <f t="shared" si="5"/>
        <v>12235.804222924444</v>
      </c>
      <c r="F32" s="31">
        <f t="shared" si="6"/>
        <v>12236</v>
      </c>
      <c r="G32" s="31">
        <f t="shared" si="7"/>
        <v>-0.13629999999830034</v>
      </c>
      <c r="K32" s="31">
        <f t="shared" si="8"/>
        <v>-0.13629999999830034</v>
      </c>
      <c r="O32">
        <f t="shared" ca="1" si="9"/>
        <v>-7.9570756904327092E-2</v>
      </c>
      <c r="Q32" s="1">
        <f t="shared" si="10"/>
        <v>44786.9185</v>
      </c>
    </row>
    <row r="33" spans="3:4" ht="12" customHeight="1" x14ac:dyDescent="0.2">
      <c r="C33" s="9"/>
      <c r="D33" s="9"/>
    </row>
    <row r="34" spans="3:4" ht="12" customHeight="1" x14ac:dyDescent="0.2">
      <c r="C34" s="9"/>
      <c r="D34" s="9"/>
    </row>
    <row r="35" spans="3:4" ht="12" customHeight="1" x14ac:dyDescent="0.2">
      <c r="C35" s="9"/>
      <c r="D35" s="9"/>
    </row>
    <row r="36" spans="3:4" ht="12" customHeight="1" x14ac:dyDescent="0.2">
      <c r="C36" s="9"/>
      <c r="D36" s="9"/>
    </row>
    <row r="37" spans="3:4" ht="12" customHeight="1" x14ac:dyDescent="0.2">
      <c r="C37" s="9"/>
      <c r="D37" s="9"/>
    </row>
    <row r="38" spans="3:4" ht="12" customHeight="1" x14ac:dyDescent="0.2">
      <c r="C38" s="9"/>
      <c r="D38" s="9"/>
    </row>
    <row r="39" spans="3:4" ht="12" customHeight="1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rotectedRanges>
    <protectedRange sqref="A31:D31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2023-08-06T08:03:48Z</dcterms:modified>
</cp:coreProperties>
</file>