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BCA8738-2E1D-486A-BF19-8786F5268ED1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6" i="1" l="1"/>
  <c r="F46" i="1" s="1"/>
  <c r="G46" i="1" s="1"/>
  <c r="H46" i="1" s="1"/>
  <c r="Q46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4" i="1"/>
  <c r="F44" i="1"/>
  <c r="G44" i="1"/>
  <c r="H44" i="1"/>
  <c r="E45" i="1"/>
  <c r="F45" i="1"/>
  <c r="G45" i="1"/>
  <c r="H45" i="1"/>
  <c r="E9" i="1"/>
  <c r="D9" i="1"/>
  <c r="E43" i="1"/>
  <c r="F43" i="1"/>
  <c r="G43" i="1"/>
  <c r="K43" i="1"/>
  <c r="Q21" i="1"/>
  <c r="Q22" i="1"/>
  <c r="Q23" i="1"/>
  <c r="Q24" i="1"/>
  <c r="Q25" i="1"/>
  <c r="Q26" i="1"/>
  <c r="H27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4" i="1"/>
  <c r="Q45" i="1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F16" i="1"/>
  <c r="C17" i="1"/>
  <c r="Q43" i="1"/>
  <c r="C12" i="1"/>
  <c r="C11" i="1"/>
  <c r="O46" i="1" l="1"/>
  <c r="O40" i="1"/>
  <c r="O25" i="1"/>
  <c r="O23" i="1"/>
  <c r="O27" i="1"/>
  <c r="O33" i="1"/>
  <c r="O31" i="1"/>
  <c r="O41" i="1"/>
  <c r="O39" i="1"/>
  <c r="O24" i="1"/>
  <c r="O32" i="1"/>
  <c r="O35" i="1"/>
  <c r="O30" i="1"/>
  <c r="O21" i="1"/>
  <c r="O44" i="1"/>
  <c r="O28" i="1"/>
  <c r="O26" i="1"/>
  <c r="O36" i="1"/>
  <c r="O34" i="1"/>
  <c r="O37" i="1"/>
  <c r="O22" i="1"/>
  <c r="O38" i="1"/>
  <c r="O43" i="1"/>
  <c r="O29" i="1"/>
  <c r="C15" i="1"/>
  <c r="O45" i="1"/>
  <c r="O42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<sst xmlns="http://schemas.openxmlformats.org/spreadsheetml/2006/main" count="282" uniqueCount="137">
  <si>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</si>
  <si>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</si>
  <si>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</si>
  <si>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</si>
  <si>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</si>
  <si>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</si>
  <si>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</si>
  <si>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</si>
  <si>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</si>
  <si>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</si>
  <si>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</si>
  <si>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</si>
  <si>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</si>
  <si>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</si>
  <si>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</si>
  <si>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</si>
  <si>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</si>
  <si>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</si>
  <si>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</si>
  <si>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</si>
  <si>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</si>
  <si>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</si>
  <si>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</si>
  <si>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</si>
  <si>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</si>
  <si>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</si>
  <si>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</si>
  <si>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</si>
  <si>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</si>
  <si>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</si>
  <si>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</si>
  <si>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</si>
  <si>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</si>
  <si>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</si>
  <si>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</si>
  <si>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</si>
  <si>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</si>
  <si>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</si>
  <si>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</si>
  <si>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</si>
  <si>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</si>
  <si>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</si>
  <si>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</si>
  <si>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</si>
  <si>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</si>
  <si>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</si>
  <si>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</si>
  <si>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</si>
  <si>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PR Mon</t>
  </si>
  <si>
    <t>2429726.156 </t>
  </si>
  <si>
    <t> 06.04.1940 15:44 </t>
  </si>
  <si>
    <t> -0.044 </t>
  </si>
  <si>
    <t>P </t>
  </si>
  <si>
    <t> I.M.Schachowskoj </t>
  </si>
  <si>
    <t> AC 157.18 </t>
  </si>
  <si>
    <t>2430382.467 </t>
  </si>
  <si>
    <t> 22.01.1942 23:12 </t>
  </si>
  <si>
    <t> 0.020 </t>
  </si>
  <si>
    <t> P.Ahnert </t>
  </si>
  <si>
    <t> VSS 2.97 </t>
  </si>
  <si>
    <t>2430431.376 </t>
  </si>
  <si>
    <t> 12.03.1942 21:01 </t>
  </si>
  <si>
    <t> 0.048 </t>
  </si>
  <si>
    <t>2430781.345 </t>
  </si>
  <si>
    <t> 25.02.1943 20:16 </t>
  </si>
  <si>
    <t> -0.019 </t>
  </si>
  <si>
    <t>2431979.244 </t>
  </si>
  <si>
    <t> 07.06.1946 17:51 </t>
  </si>
  <si>
    <t> 0.005 </t>
  </si>
  <si>
    <t>2433204.380 </t>
  </si>
  <si>
    <t> 14.10.1949 21:07 </t>
  </si>
  <si>
    <t> 0.298 </t>
  </si>
  <si>
    <t>2433356.383 </t>
  </si>
  <si>
    <t> 15.03.1950 21:11 </t>
  </si>
  <si>
    <t> 0.038 </t>
  </si>
  <si>
    <t> L.Meinunger </t>
  </si>
  <si>
    <t> MVS 672 </t>
  </si>
  <si>
    <t>2433604.664 </t>
  </si>
  <si>
    <t> 19.11.1950 03:56 </t>
  </si>
  <si>
    <t> -0.021 </t>
  </si>
  <si>
    <t>2433630.540 </t>
  </si>
  <si>
    <t> 15.12.1950 00:57 </t>
  </si>
  <si>
    <t> 0.010 </t>
  </si>
  <si>
    <t>2434449.174 </t>
  </si>
  <si>
    <t> 12.03.1953 16:10 </t>
  </si>
  <si>
    <t> 0.021 </t>
  </si>
  <si>
    <t>2434662.601 </t>
  </si>
  <si>
    <t> 12.10.1953 02:25 </t>
  </si>
  <si>
    <t> -0.057 </t>
  </si>
  <si>
    <t>2434698.608 </t>
  </si>
  <si>
    <t> 17.11.1953 02:35 </t>
  </si>
  <si>
    <t> -0.009 </t>
  </si>
  <si>
    <t>2435128.385 </t>
  </si>
  <si>
    <t> 20.01.1955 21:14 </t>
  </si>
  <si>
    <t> -0.051 </t>
  </si>
  <si>
    <t>2435164.359 </t>
  </si>
  <si>
    <t> 25.02.1955 20:36 </t>
  </si>
  <si>
    <t> -0.036 </t>
  </si>
  <si>
    <t>2436160.581 </t>
  </si>
  <si>
    <t> 18.11.1957 01:56 </t>
  </si>
  <si>
    <t> 0.018 </t>
  </si>
  <si>
    <t>2436245.365 </t>
  </si>
  <si>
    <t> 10.02.1958 20:45 </t>
  </si>
  <si>
    <t> -0.039 </t>
  </si>
  <si>
    <t>2436608.392 </t>
  </si>
  <si>
    <t> 08.02.1959 21:24 </t>
  </si>
  <si>
    <t> 0.030 </t>
  </si>
  <si>
    <t>2436613.419 </t>
  </si>
  <si>
    <t> 13.02.1959 22:03 </t>
  </si>
  <si>
    <t> 0.000 </t>
  </si>
  <si>
    <t>2436626.352 </t>
  </si>
  <si>
    <t> 26.02.1959 20:26 </t>
  </si>
  <si>
    <t> 0.011 </t>
  </si>
  <si>
    <t>2437348.405 </t>
  </si>
  <si>
    <t> 17.02.1961 21:43 </t>
  </si>
  <si>
    <t> 0.080 </t>
  </si>
  <si>
    <t>2437375.309 </t>
  </si>
  <si>
    <t> 16.03.1961 19:24 </t>
  </si>
  <si>
    <t> 0.015 </t>
  </si>
  <si>
    <t>2437378.633 </t>
  </si>
  <si>
    <t> 20.03.1961 03:11 </t>
  </si>
  <si>
    <t> -0.032 </t>
  </si>
  <si>
    <t>2454820.1341 </t>
  </si>
  <si>
    <t> 19.12.2008 15:13 </t>
  </si>
  <si>
    <t> -0.1958 </t>
  </si>
  <si>
    <t>C </t>
  </si>
  <si>
    <t> H.Itoh </t>
  </si>
  <si>
    <t>VSB 48 </t>
  </si>
  <si>
    <t>2456305.1711 </t>
  </si>
  <si>
    <t> 12.01.2013 16:06 </t>
  </si>
  <si>
    <t> -0.1415 </t>
  </si>
  <si>
    <t>VSB 56 </t>
  </si>
  <si>
    <t>I</t>
  </si>
  <si>
    <t>II</t>
  </si>
  <si>
    <t>GCVS 4</t>
  </si>
  <si>
    <t>PR Mon / GSC 0.6752512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</si>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</sst>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0" fillId="4" borderId="12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14" fontId="16" fillId="0" borderId="0" xfId="0" applyNumberFormat="1" applyFont="1" applyAlignment="1"/>
    <xf numFmtId="165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PR Mon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0.13930726794205839</c:v>
                </c:pt>
                <c:pt idx="1">
                  <c:v>0.14859459840954514</c:v>
                </c:pt>
                <c:pt idx="2">
                  <c:v>0.15668267400906188</c:v>
                </c:pt>
                <c:pt idx="3">
                  <c:v>9.810258359357249E-2</c:v>
                </c:pt>
                <c:pt idx="4">
                  <c:v>-7.5239564128423808E-2</c:v>
                </c:pt>
                <c:pt idx="5">
                  <c:v>-3.5769880596490111E-2</c:v>
                </c:pt>
                <c:pt idx="6">
                  <c:v>0.11702993312792387</c:v>
                </c:pt>
                <c:pt idx="7">
                  <c:v>3.2872001320356503E-2</c:v>
                </c:pt>
                <c:pt idx="8">
                  <c:v>0.17154993584699696</c:v>
                </c:pt>
                <c:pt idx="9">
                  <c:v>0.35870825384336058</c:v>
                </c:pt>
                <c:pt idx="10">
                  <c:v>0.16593511042447062</c:v>
                </c:pt>
                <c:pt idx="11">
                  <c:v>0.14068421876436332</c:v>
                </c:pt>
                <c:pt idx="12">
                  <c:v>0.10440572538209381</c:v>
                </c:pt>
                <c:pt idx="13">
                  <c:v>4.61548337189015E-2</c:v>
                </c:pt>
                <c:pt idx="14">
                  <c:v>0.23379089995432878</c:v>
                </c:pt>
                <c:pt idx="15">
                  <c:v>8.4628083895950112E-2</c:v>
                </c:pt>
                <c:pt idx="16">
                  <c:v>0.21538696075003827</c:v>
                </c:pt>
                <c:pt idx="17">
                  <c:v>9.4922547657915857E-2</c:v>
                </c:pt>
                <c:pt idx="18">
                  <c:v>0.15926151491294149</c:v>
                </c:pt>
                <c:pt idx="19">
                  <c:v>0.28037757842685096</c:v>
                </c:pt>
                <c:pt idx="20">
                  <c:v>0.16018940968933748</c:v>
                </c:pt>
                <c:pt idx="21">
                  <c:v>-0.37640890013426542</c:v>
                </c:pt>
                <c:pt idx="23">
                  <c:v>0.22839343281520996</c:v>
                </c:pt>
                <c:pt idx="24">
                  <c:v>0.22191025508072926</c:v>
                </c:pt>
                <c:pt idx="25">
                  <c:v>0.16143958784232382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10-4F95-B224-CCF848C3B7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10-4F95-B224-CCF848C3B7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10-4F95-B224-CCF848C3B7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2">
                  <c:v>-0.29773726816347335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10-4F95-B224-CCF848C3B7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10-4F95-B224-CCF848C3B7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10-4F95-B224-CCF848C3B7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2">
                    <c:v>0</c:v>
                  </c:pt>
                  <c:pt idx="25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10-4F95-B224-CCF848C3B7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0.10944324050090587</c:v>
                </c:pt>
                <c:pt idx="1">
                  <c:v>0.1090922269735705</c:v>
                </c:pt>
                <c:pt idx="2">
                  <c:v>0.10906607302447492</c:v>
                </c:pt>
                <c:pt idx="3">
                  <c:v>0.10887886580989606</c:v>
                </c:pt>
                <c:pt idx="4">
                  <c:v>0.10823809405705445</c:v>
                </c:pt>
                <c:pt idx="5">
                  <c:v>0.10758286880602844</c:v>
                </c:pt>
                <c:pt idx="6">
                  <c:v>0.10750165391146849</c:v>
                </c:pt>
                <c:pt idx="7">
                  <c:v>0.10736881938053569</c:v>
                </c:pt>
                <c:pt idx="8">
                  <c:v>0.1073550541441696</c:v>
                </c:pt>
                <c:pt idx="9">
                  <c:v>0.10691731962772784</c:v>
                </c:pt>
                <c:pt idx="10">
                  <c:v>0.10680306816588928</c:v>
                </c:pt>
                <c:pt idx="11">
                  <c:v>0.10678379683497674</c:v>
                </c:pt>
                <c:pt idx="12">
                  <c:v>0.106553917387663</c:v>
                </c:pt>
                <c:pt idx="13">
                  <c:v>0.10653464605675046</c:v>
                </c:pt>
                <c:pt idx="14">
                  <c:v>0.10600193140938267</c:v>
                </c:pt>
                <c:pt idx="15">
                  <c:v>0.10595650612937457</c:v>
                </c:pt>
                <c:pt idx="16">
                  <c:v>0.10576241629661266</c:v>
                </c:pt>
                <c:pt idx="17">
                  <c:v>0.10575966324933944</c:v>
                </c:pt>
                <c:pt idx="18">
                  <c:v>0.1057527806311564</c:v>
                </c:pt>
                <c:pt idx="19">
                  <c:v>0.1053666657510875</c:v>
                </c:pt>
                <c:pt idx="20">
                  <c:v>0.1053522122529031</c:v>
                </c:pt>
                <c:pt idx="21">
                  <c:v>0.10535014746744818</c:v>
                </c:pt>
                <c:pt idx="22">
                  <c:v>9.7262382840550374E-2</c:v>
                </c:pt>
                <c:pt idx="23">
                  <c:v>9.6022135043965423E-2</c:v>
                </c:pt>
                <c:pt idx="24">
                  <c:v>9.5227880905641868E-2</c:v>
                </c:pt>
                <c:pt idx="25">
                  <c:v>9.323742772710486E-2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10-4F95-B224-CCF848C3B74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-10327</c:v>
                </c:pt>
                <c:pt idx="1">
                  <c:v>-10072</c:v>
                </c:pt>
                <c:pt idx="2">
                  <c:v>-10053</c:v>
                </c:pt>
                <c:pt idx="3">
                  <c:v>-9917</c:v>
                </c:pt>
                <c:pt idx="4">
                  <c:v>-9451.5</c:v>
                </c:pt>
                <c:pt idx="5">
                  <c:v>-8975.5</c:v>
                </c:pt>
                <c:pt idx="6">
                  <c:v>-8916.5</c:v>
                </c:pt>
                <c:pt idx="7">
                  <c:v>-8820</c:v>
                </c:pt>
                <c:pt idx="8">
                  <c:v>-8810</c:v>
                </c:pt>
                <c:pt idx="9">
                  <c:v>-8492</c:v>
                </c:pt>
                <c:pt idx="10">
                  <c:v>-8409</c:v>
                </c:pt>
                <c:pt idx="11">
                  <c:v>-8395</c:v>
                </c:pt>
                <c:pt idx="12">
                  <c:v>-8228</c:v>
                </c:pt>
                <c:pt idx="13">
                  <c:v>-8214</c:v>
                </c:pt>
                <c:pt idx="14">
                  <c:v>-7827</c:v>
                </c:pt>
                <c:pt idx="15">
                  <c:v>-7794</c:v>
                </c:pt>
                <c:pt idx="16">
                  <c:v>-7653</c:v>
                </c:pt>
                <c:pt idx="17">
                  <c:v>-7651</c:v>
                </c:pt>
                <c:pt idx="18">
                  <c:v>-7646</c:v>
                </c:pt>
                <c:pt idx="19">
                  <c:v>-7365.5</c:v>
                </c:pt>
                <c:pt idx="20">
                  <c:v>-7355</c:v>
                </c:pt>
                <c:pt idx="21">
                  <c:v>-7353.5</c:v>
                </c:pt>
                <c:pt idx="22">
                  <c:v>-1478</c:v>
                </c:pt>
                <c:pt idx="23">
                  <c:v>-577</c:v>
                </c:pt>
                <c:pt idx="24">
                  <c:v>0</c:v>
                </c:pt>
                <c:pt idx="25">
                  <c:v>1446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10-4F95-B224-CCF848C3B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608920"/>
        <c:axId val="1"/>
      </c:scatterChart>
      <c:valAx>
        <c:axId val="660608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608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CF7E038-EE0C-AC09-A3BC-F9B2A522F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vsolj.cetus-net.org/no48.pdf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F10" sqref="F9:F10"/>
    </sheetView>
  </sheetViews>
  <sheetFormatPr defaultColWidth="10.28515625" defaultRowHeight="12.75" x14ac:dyDescent="0.2"/>
  <cols>
    <col min="1" max="1" width="15.8554687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135</v>
      </c>
      <c r="F1" s="30" t="s">
        <v>48</v>
      </c>
      <c r="G1" s="31">
        <v>7.3821500000000002</v>
      </c>
      <c r="H1" s="32">
        <v>-10.044600000000001</v>
      </c>
      <c r="I1" s="33">
        <v>52500.675251200002</v>
      </c>
      <c r="J1" s="34">
        <v>2.573744</v>
      </c>
      <c r="K1" s="35" t="s">
        <v>43</v>
      </c>
      <c r="L1" s="36"/>
      <c r="M1" s="37">
        <v>56304.949189744919</v>
      </c>
      <c r="N1" s="37">
        <v>2.5737322065471928</v>
      </c>
      <c r="O1" s="36" t="s">
        <v>43</v>
      </c>
    </row>
    <row r="2" spans="1:15" x14ac:dyDescent="0.2">
      <c r="A2" t="s">
        <v>23</v>
      </c>
      <c r="B2" t="s">
        <v>43</v>
      </c>
      <c r="C2" s="29"/>
      <c r="D2" s="2"/>
    </row>
    <row r="3" spans="1:15" ht="13.5" thickBot="1" x14ac:dyDescent="0.25"/>
    <row r="4" spans="1:15" ht="14.25" thickTop="1" thickBot="1" x14ac:dyDescent="0.25">
      <c r="A4" s="4" t="s">
        <v>0</v>
      </c>
      <c r="C4" s="26">
        <v>29726.2</v>
      </c>
      <c r="D4" s="27">
        <v>1.12371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7">
        <v>56304.949189744919</v>
      </c>
      <c r="D7" s="28" t="s">
        <v>134</v>
      </c>
    </row>
    <row r="8" spans="1:15" x14ac:dyDescent="0.2">
      <c r="A8" t="s">
        <v>3</v>
      </c>
      <c r="C8" s="7">
        <v>2.5737322065471928</v>
      </c>
      <c r="D8" s="28" t="s">
        <v>134</v>
      </c>
    </row>
    <row r="9" spans="1:15" x14ac:dyDescent="0.2">
      <c r="A9" s="23" t="s">
        <v>32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20">
        <f ca="1">INTERCEPT(INDIRECT($E$9):G992,INDIRECT($D$9):F992)</f>
        <v>9.5227880905641868E-2</v>
      </c>
      <c r="D11" s="2"/>
      <c r="E11" s="9"/>
    </row>
    <row r="12" spans="1:15" x14ac:dyDescent="0.2">
      <c r="A12" s="9" t="s">
        <v>16</v>
      </c>
      <c r="B12" s="9"/>
      <c r="C12" s="20">
        <f ca="1">SLOPE(INDIRECT($E$9):G992,INDIRECT($D$9):F992)</f>
        <v>-1.3765236366092766E-6</v>
      </c>
      <c r="D12" s="2"/>
      <c r="E12" s="9"/>
    </row>
    <row r="13" spans="1:15" x14ac:dyDescent="0.2">
      <c r="A13" s="9" t="s">
        <v>18</v>
      </c>
      <c r="B13" s="9"/>
      <c r="C13" s="2" t="s">
        <v>13</v>
      </c>
    </row>
    <row r="14" spans="1:15" x14ac:dyDescent="0.2">
      <c r="A14" s="9"/>
      <c r="B14" s="9"/>
      <c r="C14" s="9"/>
    </row>
    <row r="15" spans="1:15" x14ac:dyDescent="0.2">
      <c r="A15" s="11" t="s">
        <v>17</v>
      </c>
      <c r="B15" s="9"/>
      <c r="C15" s="12">
        <f ca="1">(C7+C11)+(C8+C12)*INT(MAX(F21:F3533))</f>
        <v>60026.659197839886</v>
      </c>
      <c r="E15" s="13" t="s">
        <v>34</v>
      </c>
      <c r="F15" s="38">
        <v>1</v>
      </c>
    </row>
    <row r="16" spans="1:15" x14ac:dyDescent="0.2">
      <c r="A16" s="15" t="s">
        <v>4</v>
      </c>
      <c r="B16" s="9"/>
      <c r="C16" s="16">
        <f ca="1">+C8+C12</f>
        <v>2.5737308300235564</v>
      </c>
      <c r="E16" s="13" t="s">
        <v>30</v>
      </c>
      <c r="F16" s="39">
        <f ca="1">NOW()+15018.5+$C$5/24</f>
        <v>60162.833648263884</v>
      </c>
    </row>
    <row r="17" spans="1:21" ht="13.5" thickBot="1" x14ac:dyDescent="0.25">
      <c r="A17" s="13" t="s">
        <v>27</v>
      </c>
      <c r="B17" s="9"/>
      <c r="C17" s="9">
        <f>COUNT(C21:C2191)</f>
        <v>26</v>
      </c>
      <c r="E17" s="13" t="s">
        <v>35</v>
      </c>
      <c r="F17" s="14">
        <f ca="1">ROUND(2*(F16-$C$7)/$C$8,0)/2+F15</f>
        <v>1500</v>
      </c>
    </row>
    <row r="18" spans="1:21" ht="14.25" thickTop="1" thickBot="1" x14ac:dyDescent="0.25">
      <c r="A18" s="15" t="s">
        <v>5</v>
      </c>
      <c r="B18" s="9"/>
      <c r="C18" s="18">
        <f ca="1">+C15</f>
        <v>60026.659197839886</v>
      </c>
      <c r="D18" s="19">
        <f ca="1">+C16</f>
        <v>2.5737308300235564</v>
      </c>
      <c r="E18" s="13" t="s">
        <v>36</v>
      </c>
      <c r="F18" s="22">
        <f ca="1">ROUND(2*(F16-$C$15)/$C$16,0)/2+F15</f>
        <v>54</v>
      </c>
    </row>
    <row r="19" spans="1:21" ht="13.5" thickTop="1" x14ac:dyDescent="0.2">
      <c r="E19" s="13" t="s">
        <v>31</v>
      </c>
      <c r="F19" s="17">
        <f ca="1">+$C$15+$C$16*F18-15018.5-$C$5/24</f>
        <v>45147.536495994493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38</v>
      </c>
      <c r="J20" s="6" t="s">
        <v>39</v>
      </c>
      <c r="K20" s="6" t="s">
        <v>40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5" t="s">
        <v>33</v>
      </c>
    </row>
    <row r="21" spans="1:21" s="59" customFormat="1" ht="12" customHeight="1" x14ac:dyDescent="0.2">
      <c r="A21" s="53" t="s">
        <v>54</v>
      </c>
      <c r="B21" s="55" t="s">
        <v>132</v>
      </c>
      <c r="C21" s="54">
        <v>29726.155999999999</v>
      </c>
      <c r="D21" s="58"/>
      <c r="E21" s="59">
        <f t="shared" ref="E21:E45" si="0">+(C21-C$7)/C$8</f>
        <v>-10326.945873441073</v>
      </c>
      <c r="F21" s="59">
        <f t="shared" ref="F21:F45" si="1">ROUND(2*E21,0)/2</f>
        <v>-10327</v>
      </c>
      <c r="G21" s="59">
        <f t="shared" ref="G21:G45" si="2">+C21-(C$7+F21*C$8)</f>
        <v>0.13930726794205839</v>
      </c>
      <c r="H21" s="59">
        <f t="shared" ref="H21:H42" si="3">+G21</f>
        <v>0.13930726794205839</v>
      </c>
      <c r="O21" s="59">
        <f t="shared" ref="O21:O45" ca="1" si="4">+C$11+C$12*$F21</f>
        <v>0.10944324050090587</v>
      </c>
      <c r="Q21" s="60">
        <f t="shared" ref="Q21:Q45" si="5">+C21-15018.5</f>
        <v>14707.655999999999</v>
      </c>
    </row>
    <row r="22" spans="1:21" s="59" customFormat="1" ht="12" customHeight="1" x14ac:dyDescent="0.2">
      <c r="A22" s="53" t="s">
        <v>59</v>
      </c>
      <c r="B22" s="55" t="s">
        <v>132</v>
      </c>
      <c r="C22" s="54">
        <v>30382.467000000001</v>
      </c>
      <c r="D22" s="58"/>
      <c r="E22" s="59">
        <f t="shared" si="0"/>
        <v>-10071.942264934158</v>
      </c>
      <c r="F22" s="59">
        <f t="shared" si="1"/>
        <v>-10072</v>
      </c>
      <c r="G22" s="59">
        <f t="shared" si="2"/>
        <v>0.14859459840954514</v>
      </c>
      <c r="H22" s="59">
        <f t="shared" si="3"/>
        <v>0.14859459840954514</v>
      </c>
      <c r="O22" s="59">
        <f t="shared" ca="1" si="4"/>
        <v>0.1090922269735705</v>
      </c>
      <c r="Q22" s="60">
        <f t="shared" si="5"/>
        <v>15363.967000000001</v>
      </c>
    </row>
    <row r="23" spans="1:21" s="59" customFormat="1" ht="12" customHeight="1" x14ac:dyDescent="0.2">
      <c r="A23" s="53" t="s">
        <v>59</v>
      </c>
      <c r="B23" s="55" t="s">
        <v>133</v>
      </c>
      <c r="C23" s="54">
        <v>30431.376</v>
      </c>
      <c r="D23" s="58"/>
      <c r="E23" s="59">
        <f t="shared" si="0"/>
        <v>-10052.939122386699</v>
      </c>
      <c r="F23" s="59">
        <f t="shared" si="1"/>
        <v>-10053</v>
      </c>
      <c r="G23" s="59">
        <f t="shared" si="2"/>
        <v>0.15668267400906188</v>
      </c>
      <c r="H23" s="59">
        <f t="shared" si="3"/>
        <v>0.15668267400906188</v>
      </c>
      <c r="O23" s="59">
        <f t="shared" ca="1" si="4"/>
        <v>0.10906607302447492</v>
      </c>
      <c r="Q23" s="60">
        <f t="shared" si="5"/>
        <v>15412.876</v>
      </c>
    </row>
    <row r="24" spans="1:21" s="59" customFormat="1" ht="12" customHeight="1" x14ac:dyDescent="0.2">
      <c r="A24" s="53" t="s">
        <v>59</v>
      </c>
      <c r="B24" s="55" t="s">
        <v>132</v>
      </c>
      <c r="C24" s="54">
        <v>30781.345000000001</v>
      </c>
      <c r="D24" s="58"/>
      <c r="E24" s="59">
        <f t="shared" si="0"/>
        <v>-9916.9618831425651</v>
      </c>
      <c r="F24" s="59">
        <f t="shared" si="1"/>
        <v>-9917</v>
      </c>
      <c r="G24" s="59">
        <f t="shared" si="2"/>
        <v>9.810258359357249E-2</v>
      </c>
      <c r="H24" s="59">
        <f t="shared" si="3"/>
        <v>9.810258359357249E-2</v>
      </c>
      <c r="O24" s="59">
        <f t="shared" ca="1" si="4"/>
        <v>0.10887886580989606</v>
      </c>
      <c r="Q24" s="60">
        <f t="shared" si="5"/>
        <v>15762.845000000001</v>
      </c>
    </row>
    <row r="25" spans="1:21" s="59" customFormat="1" ht="12" customHeight="1" x14ac:dyDescent="0.2">
      <c r="A25" s="53" t="s">
        <v>54</v>
      </c>
      <c r="B25" s="55" t="s">
        <v>132</v>
      </c>
      <c r="C25" s="54">
        <v>31979.243999999999</v>
      </c>
      <c r="D25" s="58"/>
      <c r="E25" s="59">
        <f t="shared" si="0"/>
        <v>-9451.5292336413004</v>
      </c>
      <c r="F25" s="59">
        <f t="shared" si="1"/>
        <v>-9451.5</v>
      </c>
      <c r="G25" s="59">
        <f t="shared" si="2"/>
        <v>-7.5239564128423808E-2</v>
      </c>
      <c r="H25" s="59">
        <f t="shared" si="3"/>
        <v>-7.5239564128423808E-2</v>
      </c>
      <c r="O25" s="59">
        <f t="shared" ca="1" si="4"/>
        <v>0.10823809405705445</v>
      </c>
      <c r="Q25" s="60">
        <f t="shared" si="5"/>
        <v>16960.743999999999</v>
      </c>
    </row>
    <row r="26" spans="1:21" s="59" customFormat="1" ht="12" customHeight="1" x14ac:dyDescent="0.2">
      <c r="A26" s="53" t="s">
        <v>54</v>
      </c>
      <c r="B26" s="55" t="s">
        <v>132</v>
      </c>
      <c r="C26" s="54">
        <v>33204.379999999997</v>
      </c>
      <c r="D26" s="58"/>
      <c r="E26" s="59">
        <f t="shared" si="0"/>
        <v>-8975.5138980584306</v>
      </c>
      <c r="F26" s="59">
        <f t="shared" si="1"/>
        <v>-8975.5</v>
      </c>
      <c r="G26" s="59">
        <f t="shared" si="2"/>
        <v>-3.5769880596490111E-2</v>
      </c>
      <c r="H26" s="59">
        <f t="shared" si="3"/>
        <v>-3.5769880596490111E-2</v>
      </c>
      <c r="O26" s="59">
        <f t="shared" ca="1" si="4"/>
        <v>0.10758286880602844</v>
      </c>
      <c r="Q26" s="60">
        <f t="shared" si="5"/>
        <v>18185.879999999997</v>
      </c>
    </row>
    <row r="27" spans="1:21" s="59" customFormat="1" ht="12" customHeight="1" x14ac:dyDescent="0.2">
      <c r="A27" s="53" t="s">
        <v>76</v>
      </c>
      <c r="B27" s="55" t="s">
        <v>133</v>
      </c>
      <c r="C27" s="54">
        <v>33356.383000000002</v>
      </c>
      <c r="D27" s="58"/>
      <c r="E27" s="59">
        <f t="shared" si="0"/>
        <v>-8916.454529094819</v>
      </c>
      <c r="F27" s="59">
        <f t="shared" si="1"/>
        <v>-8916.5</v>
      </c>
      <c r="G27" s="59">
        <f t="shared" si="2"/>
        <v>0.11702993312792387</v>
      </c>
      <c r="H27" s="59">
        <f t="shared" si="3"/>
        <v>0.11702993312792387</v>
      </c>
      <c r="O27" s="59">
        <f t="shared" ca="1" si="4"/>
        <v>0.10750165391146849</v>
      </c>
      <c r="Q27" s="60">
        <f t="shared" si="5"/>
        <v>18337.883000000002</v>
      </c>
    </row>
    <row r="28" spans="1:21" s="59" customFormat="1" ht="12" customHeight="1" x14ac:dyDescent="0.2">
      <c r="A28" s="53" t="s">
        <v>59</v>
      </c>
      <c r="B28" s="55" t="s">
        <v>133</v>
      </c>
      <c r="C28" s="54">
        <v>33604.663999999997</v>
      </c>
      <c r="D28" s="58"/>
      <c r="E28" s="59">
        <f t="shared" si="0"/>
        <v>-8819.987227885933</v>
      </c>
      <c r="F28" s="59">
        <f t="shared" si="1"/>
        <v>-8820</v>
      </c>
      <c r="G28" s="59">
        <f t="shared" si="2"/>
        <v>3.2872001320356503E-2</v>
      </c>
      <c r="H28" s="59">
        <f t="shared" si="3"/>
        <v>3.2872001320356503E-2</v>
      </c>
      <c r="O28" s="59">
        <f t="shared" ca="1" si="4"/>
        <v>0.10736881938053569</v>
      </c>
      <c r="Q28" s="60">
        <f t="shared" si="5"/>
        <v>18586.163999999997</v>
      </c>
    </row>
    <row r="29" spans="1:21" s="59" customFormat="1" ht="12" customHeight="1" x14ac:dyDescent="0.2">
      <c r="A29" s="53" t="s">
        <v>59</v>
      </c>
      <c r="B29" s="55" t="s">
        <v>133</v>
      </c>
      <c r="C29" s="54">
        <v>33630.54</v>
      </c>
      <c r="D29" s="58"/>
      <c r="E29" s="59">
        <f t="shared" si="0"/>
        <v>-8809.9333458487199</v>
      </c>
      <c r="F29" s="59">
        <f t="shared" si="1"/>
        <v>-8810</v>
      </c>
      <c r="G29" s="59">
        <f t="shared" si="2"/>
        <v>0.17154993584699696</v>
      </c>
      <c r="H29" s="59">
        <f t="shared" si="3"/>
        <v>0.17154993584699696</v>
      </c>
      <c r="O29" s="59">
        <f t="shared" ca="1" si="4"/>
        <v>0.1073550541441696</v>
      </c>
      <c r="Q29" s="60">
        <f t="shared" si="5"/>
        <v>18612.04</v>
      </c>
    </row>
    <row r="30" spans="1:21" s="59" customFormat="1" ht="12" customHeight="1" x14ac:dyDescent="0.2">
      <c r="A30" s="53" t="s">
        <v>54</v>
      </c>
      <c r="B30" s="55" t="s">
        <v>132</v>
      </c>
      <c r="C30" s="54">
        <v>34449.173999999999</v>
      </c>
      <c r="D30" s="58"/>
      <c r="E30" s="59">
        <f t="shared" si="0"/>
        <v>-8491.860627203976</v>
      </c>
      <c r="F30" s="59">
        <f t="shared" si="1"/>
        <v>-8492</v>
      </c>
      <c r="G30" s="59">
        <f t="shared" si="2"/>
        <v>0.35870825384336058</v>
      </c>
      <c r="H30" s="59">
        <f t="shared" si="3"/>
        <v>0.35870825384336058</v>
      </c>
      <c r="O30" s="59">
        <f t="shared" ca="1" si="4"/>
        <v>0.10691731962772784</v>
      </c>
      <c r="Q30" s="60">
        <f t="shared" si="5"/>
        <v>19430.673999999999</v>
      </c>
    </row>
    <row r="31" spans="1:21" s="59" customFormat="1" ht="12" customHeight="1" x14ac:dyDescent="0.2">
      <c r="A31" s="53" t="s">
        <v>76</v>
      </c>
      <c r="B31" s="55" t="s">
        <v>132</v>
      </c>
      <c r="C31" s="54">
        <v>34662.601000000002</v>
      </c>
      <c r="D31" s="58"/>
      <c r="E31" s="59">
        <f t="shared" si="0"/>
        <v>-8408.9355274375448</v>
      </c>
      <c r="F31" s="59">
        <f t="shared" si="1"/>
        <v>-8409</v>
      </c>
      <c r="G31" s="59">
        <f t="shared" si="2"/>
        <v>0.16593511042447062</v>
      </c>
      <c r="H31" s="59">
        <f t="shared" si="3"/>
        <v>0.16593511042447062</v>
      </c>
      <c r="O31" s="59">
        <f t="shared" ca="1" si="4"/>
        <v>0.10680306816588928</v>
      </c>
      <c r="Q31" s="60">
        <f t="shared" si="5"/>
        <v>19644.101000000002</v>
      </c>
    </row>
    <row r="32" spans="1:21" s="59" customFormat="1" ht="12" customHeight="1" x14ac:dyDescent="0.2">
      <c r="A32" s="53" t="s">
        <v>76</v>
      </c>
      <c r="B32" s="55" t="s">
        <v>132</v>
      </c>
      <c r="C32" s="54">
        <v>34698.608</v>
      </c>
      <c r="D32" s="58"/>
      <c r="E32" s="59">
        <f t="shared" si="0"/>
        <v>-8394.9453384394819</v>
      </c>
      <c r="F32" s="59">
        <f t="shared" si="1"/>
        <v>-8395</v>
      </c>
      <c r="G32" s="59">
        <f t="shared" si="2"/>
        <v>0.14068421876436332</v>
      </c>
      <c r="H32" s="59">
        <f t="shared" si="3"/>
        <v>0.14068421876436332</v>
      </c>
      <c r="O32" s="59">
        <f t="shared" ca="1" si="4"/>
        <v>0.10678379683497674</v>
      </c>
      <c r="Q32" s="60">
        <f t="shared" si="5"/>
        <v>19680.108</v>
      </c>
    </row>
    <row r="33" spans="1:17" s="59" customFormat="1" ht="12" customHeight="1" x14ac:dyDescent="0.2">
      <c r="A33" s="53" t="s">
        <v>76</v>
      </c>
      <c r="B33" s="55" t="s">
        <v>133</v>
      </c>
      <c r="C33" s="54">
        <v>35128.385000000002</v>
      </c>
      <c r="D33" s="58"/>
      <c r="E33" s="59">
        <f t="shared" si="0"/>
        <v>-8227.9594341147385</v>
      </c>
      <c r="F33" s="59">
        <f t="shared" si="1"/>
        <v>-8228</v>
      </c>
      <c r="G33" s="59">
        <f t="shared" si="2"/>
        <v>0.10440572538209381</v>
      </c>
      <c r="H33" s="59">
        <f t="shared" si="3"/>
        <v>0.10440572538209381</v>
      </c>
      <c r="O33" s="59">
        <f t="shared" ca="1" si="4"/>
        <v>0.106553917387663</v>
      </c>
      <c r="Q33" s="60">
        <f t="shared" si="5"/>
        <v>20109.885000000002</v>
      </c>
    </row>
    <row r="34" spans="1:17" s="59" customFormat="1" ht="12" customHeight="1" x14ac:dyDescent="0.2">
      <c r="A34" s="53" t="s">
        <v>76</v>
      </c>
      <c r="B34" s="55" t="s">
        <v>133</v>
      </c>
      <c r="C34" s="54">
        <v>35164.358999999997</v>
      </c>
      <c r="D34" s="58"/>
      <c r="E34" s="59">
        <f t="shared" si="0"/>
        <v>-8213.9820669634537</v>
      </c>
      <c r="F34" s="59">
        <f t="shared" si="1"/>
        <v>-8214</v>
      </c>
      <c r="G34" s="59">
        <f t="shared" si="2"/>
        <v>4.61548337189015E-2</v>
      </c>
      <c r="H34" s="59">
        <f t="shared" si="3"/>
        <v>4.61548337189015E-2</v>
      </c>
      <c r="O34" s="59">
        <f t="shared" ca="1" si="4"/>
        <v>0.10653464605675046</v>
      </c>
      <c r="Q34" s="60">
        <f t="shared" si="5"/>
        <v>20145.858999999997</v>
      </c>
    </row>
    <row r="35" spans="1:17" s="59" customFormat="1" ht="12" customHeight="1" x14ac:dyDescent="0.2">
      <c r="A35" s="53" t="s">
        <v>76</v>
      </c>
      <c r="B35" s="55" t="s">
        <v>132</v>
      </c>
      <c r="C35" s="54">
        <v>36160.580999999998</v>
      </c>
      <c r="D35" s="58"/>
      <c r="E35" s="59">
        <f t="shared" si="0"/>
        <v>-7826.9091626940199</v>
      </c>
      <c r="F35" s="59">
        <f t="shared" si="1"/>
        <v>-7827</v>
      </c>
      <c r="G35" s="59">
        <f t="shared" si="2"/>
        <v>0.23379089995432878</v>
      </c>
      <c r="H35" s="59">
        <f t="shared" si="3"/>
        <v>0.23379089995432878</v>
      </c>
      <c r="O35" s="59">
        <f t="shared" ca="1" si="4"/>
        <v>0.10600193140938267</v>
      </c>
      <c r="Q35" s="60">
        <f t="shared" si="5"/>
        <v>21142.080999999998</v>
      </c>
    </row>
    <row r="36" spans="1:17" s="59" customFormat="1" ht="12" customHeight="1" x14ac:dyDescent="0.2">
      <c r="A36" s="53" t="s">
        <v>76</v>
      </c>
      <c r="B36" s="55" t="s">
        <v>133</v>
      </c>
      <c r="C36" s="54">
        <v>36245.364999999998</v>
      </c>
      <c r="D36" s="58"/>
      <c r="E36" s="59">
        <f t="shared" si="0"/>
        <v>-7793.9671185356092</v>
      </c>
      <c r="F36" s="59">
        <f t="shared" si="1"/>
        <v>-7794</v>
      </c>
      <c r="G36" s="59">
        <f t="shared" si="2"/>
        <v>8.4628083895950112E-2</v>
      </c>
      <c r="H36" s="59">
        <f t="shared" si="3"/>
        <v>8.4628083895950112E-2</v>
      </c>
      <c r="O36" s="59">
        <f t="shared" ca="1" si="4"/>
        <v>0.10595650612937457</v>
      </c>
      <c r="Q36" s="60">
        <f t="shared" si="5"/>
        <v>21226.864999999998</v>
      </c>
    </row>
    <row r="37" spans="1:17" s="59" customFormat="1" ht="12" customHeight="1" x14ac:dyDescent="0.2">
      <c r="A37" s="53" t="s">
        <v>76</v>
      </c>
      <c r="B37" s="55" t="s">
        <v>133</v>
      </c>
      <c r="C37" s="54">
        <v>36608.392</v>
      </c>
      <c r="D37" s="58"/>
      <c r="E37" s="59">
        <f t="shared" si="0"/>
        <v>-7652.9163133754946</v>
      </c>
      <c r="F37" s="59">
        <f t="shared" si="1"/>
        <v>-7653</v>
      </c>
      <c r="G37" s="59">
        <f t="shared" si="2"/>
        <v>0.21538696075003827</v>
      </c>
      <c r="H37" s="59">
        <f t="shared" si="3"/>
        <v>0.21538696075003827</v>
      </c>
      <c r="O37" s="59">
        <f t="shared" ca="1" si="4"/>
        <v>0.10576241629661266</v>
      </c>
      <c r="Q37" s="60">
        <f t="shared" si="5"/>
        <v>21589.892</v>
      </c>
    </row>
    <row r="38" spans="1:17" s="59" customFormat="1" ht="12" customHeight="1" x14ac:dyDescent="0.2">
      <c r="A38" s="53" t="s">
        <v>76</v>
      </c>
      <c r="B38" s="55" t="s">
        <v>132</v>
      </c>
      <c r="C38" s="54">
        <v>36613.419000000002</v>
      </c>
      <c r="D38" s="58"/>
      <c r="E38" s="59">
        <f t="shared" si="0"/>
        <v>-7650.9631187163086</v>
      </c>
      <c r="F38" s="59">
        <f t="shared" si="1"/>
        <v>-7651</v>
      </c>
      <c r="G38" s="59">
        <f t="shared" si="2"/>
        <v>9.4922547657915857E-2</v>
      </c>
      <c r="H38" s="59">
        <f t="shared" si="3"/>
        <v>9.4922547657915857E-2</v>
      </c>
      <c r="O38" s="59">
        <f t="shared" ca="1" si="4"/>
        <v>0.10575966324933944</v>
      </c>
      <c r="Q38" s="60">
        <f t="shared" si="5"/>
        <v>21594.919000000002</v>
      </c>
    </row>
    <row r="39" spans="1:17" s="59" customFormat="1" ht="12" customHeight="1" x14ac:dyDescent="0.2">
      <c r="A39" s="53" t="s">
        <v>76</v>
      </c>
      <c r="B39" s="55" t="s">
        <v>133</v>
      </c>
      <c r="C39" s="54">
        <v>36626.351999999999</v>
      </c>
      <c r="D39" s="58"/>
      <c r="E39" s="59">
        <f t="shared" si="0"/>
        <v>-7645.9381204017609</v>
      </c>
      <c r="F39" s="59">
        <f t="shared" si="1"/>
        <v>-7646</v>
      </c>
      <c r="G39" s="59">
        <f t="shared" si="2"/>
        <v>0.15926151491294149</v>
      </c>
      <c r="H39" s="59">
        <f t="shared" si="3"/>
        <v>0.15926151491294149</v>
      </c>
      <c r="O39" s="59">
        <f t="shared" ca="1" si="4"/>
        <v>0.1057527806311564</v>
      </c>
      <c r="Q39" s="60">
        <f t="shared" si="5"/>
        <v>21607.851999999999</v>
      </c>
    </row>
    <row r="40" spans="1:17" s="59" customFormat="1" ht="12" customHeight="1" x14ac:dyDescent="0.2">
      <c r="A40" s="53" t="s">
        <v>76</v>
      </c>
      <c r="B40" s="55" t="s">
        <v>132</v>
      </c>
      <c r="C40" s="54">
        <v>37348.404999999999</v>
      </c>
      <c r="D40" s="58"/>
      <c r="E40" s="59">
        <f t="shared" si="0"/>
        <v>-7365.3910618681639</v>
      </c>
      <c r="F40" s="59">
        <f t="shared" si="1"/>
        <v>-7365.5</v>
      </c>
      <c r="G40" s="59">
        <f t="shared" si="2"/>
        <v>0.28037757842685096</v>
      </c>
      <c r="H40" s="59">
        <f t="shared" si="3"/>
        <v>0.28037757842685096</v>
      </c>
      <c r="O40" s="59">
        <f t="shared" ca="1" si="4"/>
        <v>0.1053666657510875</v>
      </c>
      <c r="Q40" s="60">
        <f t="shared" si="5"/>
        <v>22329.904999999999</v>
      </c>
    </row>
    <row r="41" spans="1:17" s="59" customFormat="1" ht="12" customHeight="1" x14ac:dyDescent="0.2">
      <c r="A41" s="53" t="s">
        <v>76</v>
      </c>
      <c r="B41" s="55" t="s">
        <v>132</v>
      </c>
      <c r="C41" s="54">
        <v>37375.309000000001</v>
      </c>
      <c r="D41" s="58"/>
      <c r="E41" s="59">
        <f t="shared" si="0"/>
        <v>-7354.9377598767742</v>
      </c>
      <c r="F41" s="59">
        <f t="shared" si="1"/>
        <v>-7355</v>
      </c>
      <c r="G41" s="59">
        <f t="shared" si="2"/>
        <v>0.16018940968933748</v>
      </c>
      <c r="H41" s="59">
        <f t="shared" si="3"/>
        <v>0.16018940968933748</v>
      </c>
      <c r="O41" s="59">
        <f t="shared" ca="1" si="4"/>
        <v>0.1053522122529031</v>
      </c>
      <c r="Q41" s="60">
        <f t="shared" si="5"/>
        <v>22356.809000000001</v>
      </c>
    </row>
    <row r="42" spans="1:17" s="59" customFormat="1" ht="12" customHeight="1" x14ac:dyDescent="0.2">
      <c r="A42" s="53" t="s">
        <v>76</v>
      </c>
      <c r="B42" s="55" t="s">
        <v>132</v>
      </c>
      <c r="C42" s="54">
        <v>37378.633000000002</v>
      </c>
      <c r="D42" s="58"/>
      <c r="E42" s="59">
        <f t="shared" si="0"/>
        <v>-7353.6462502194972</v>
      </c>
      <c r="F42" s="59">
        <f t="shared" si="1"/>
        <v>-7353.5</v>
      </c>
      <c r="G42" s="59">
        <f t="shared" si="2"/>
        <v>-0.37640890013426542</v>
      </c>
      <c r="H42" s="59">
        <f t="shared" si="3"/>
        <v>-0.37640890013426542</v>
      </c>
      <c r="O42" s="59">
        <f t="shared" ca="1" si="4"/>
        <v>0.10535014746744818</v>
      </c>
      <c r="Q42" s="60">
        <f t="shared" si="5"/>
        <v>22360.133000000002</v>
      </c>
    </row>
    <row r="43" spans="1:17" s="59" customFormat="1" ht="12" customHeight="1" x14ac:dyDescent="0.2">
      <c r="A43" s="59" t="s">
        <v>134</v>
      </c>
      <c r="C43" s="58">
        <v>52500.675251200002</v>
      </c>
      <c r="D43" s="58" t="s">
        <v>13</v>
      </c>
      <c r="E43" s="59">
        <f t="shared" si="0"/>
        <v>-1478.1156830797736</v>
      </c>
      <c r="F43" s="59">
        <f t="shared" si="1"/>
        <v>-1478</v>
      </c>
      <c r="G43" s="59">
        <f t="shared" si="2"/>
        <v>-0.29773726816347335</v>
      </c>
      <c r="K43" s="59">
        <f>+G43</f>
        <v>-0.29773726816347335</v>
      </c>
      <c r="O43" s="59">
        <f t="shared" ca="1" si="4"/>
        <v>9.7262382840550374E-2</v>
      </c>
      <c r="Q43" s="60">
        <f t="shared" si="5"/>
        <v>37482.175251200002</v>
      </c>
    </row>
    <row r="44" spans="1:17" s="59" customFormat="1" ht="12" customHeight="1" x14ac:dyDescent="0.2">
      <c r="A44" s="53" t="s">
        <v>127</v>
      </c>
      <c r="B44" s="55" t="s">
        <v>133</v>
      </c>
      <c r="C44" s="54">
        <v>54820.134100000003</v>
      </c>
      <c r="D44" s="58"/>
      <c r="E44" s="59">
        <f t="shared" si="0"/>
        <v>-576.91125983028326</v>
      </c>
      <c r="F44" s="59">
        <f t="shared" si="1"/>
        <v>-577</v>
      </c>
      <c r="G44" s="59">
        <f t="shared" si="2"/>
        <v>0.22839343281520996</v>
      </c>
      <c r="H44" s="59">
        <f>+G44</f>
        <v>0.22839343281520996</v>
      </c>
      <c r="O44" s="59">
        <f t="shared" ca="1" si="4"/>
        <v>9.6022135043965423E-2</v>
      </c>
      <c r="Q44" s="60">
        <f t="shared" si="5"/>
        <v>39801.634100000003</v>
      </c>
    </row>
    <row r="45" spans="1:17" s="59" customFormat="1" ht="12" customHeight="1" x14ac:dyDescent="0.2">
      <c r="A45" s="53" t="s">
        <v>131</v>
      </c>
      <c r="B45" s="55" t="s">
        <v>132</v>
      </c>
      <c r="C45" s="54">
        <v>56305.1711</v>
      </c>
      <c r="D45" s="58"/>
      <c r="E45" s="59">
        <f t="shared" si="0"/>
        <v>8.622119057927724E-2</v>
      </c>
      <c r="F45" s="59">
        <f t="shared" si="1"/>
        <v>0</v>
      </c>
      <c r="G45" s="59">
        <f t="shared" si="2"/>
        <v>0.22191025508072926</v>
      </c>
      <c r="H45" s="59">
        <f>+G45</f>
        <v>0.22191025508072926</v>
      </c>
      <c r="O45" s="59">
        <f t="shared" ca="1" si="4"/>
        <v>9.5227880905641868E-2</v>
      </c>
      <c r="Q45" s="60">
        <f t="shared" si="5"/>
        <v>41286.6711</v>
      </c>
    </row>
    <row r="46" spans="1:17" s="59" customFormat="1" ht="12" customHeight="1" x14ac:dyDescent="0.2">
      <c r="A46" s="56" t="s">
        <v>136</v>
      </c>
      <c r="B46" s="57" t="s">
        <v>132</v>
      </c>
      <c r="C46" s="61">
        <v>60026.727400000003</v>
      </c>
      <c r="D46" s="62">
        <v>3.7000000000000002E-3</v>
      </c>
      <c r="E46" s="59">
        <f t="shared" ref="E46" si="6">+(C46-C$7)/C$8</f>
        <v>1446.0627258684617</v>
      </c>
      <c r="F46" s="59">
        <f t="shared" ref="F46" si="7">ROUND(2*E46,0)/2</f>
        <v>1446</v>
      </c>
      <c r="G46" s="59">
        <f t="shared" ref="G46" si="8">+C46-(C$7+F46*C$8)</f>
        <v>0.16143958784232382</v>
      </c>
      <c r="H46" s="59">
        <f>+G46</f>
        <v>0.16143958784232382</v>
      </c>
      <c r="O46" s="59">
        <f t="shared" ref="O46" ca="1" si="9">+C$11+C$12*$F46</f>
        <v>9.323742772710486E-2</v>
      </c>
      <c r="Q46" s="60">
        <f t="shared" ref="Q46" si="10">+C46-15018.5</f>
        <v>45008.227400000003</v>
      </c>
    </row>
    <row r="47" spans="1:17" s="59" customFormat="1" ht="12" customHeight="1" x14ac:dyDescent="0.2">
      <c r="C47" s="58"/>
      <c r="D47" s="58"/>
    </row>
    <row r="48" spans="1:17" s="59" customFormat="1" ht="12" customHeight="1" x14ac:dyDescent="0.2">
      <c r="C48" s="58"/>
      <c r="D48" s="58"/>
    </row>
    <row r="49" spans="3:4" s="59" customFormat="1" ht="12" customHeight="1" x14ac:dyDescent="0.2">
      <c r="C49" s="58"/>
      <c r="D49" s="58"/>
    </row>
    <row r="50" spans="3:4" s="59" customFormat="1" ht="12" customHeight="1" x14ac:dyDescent="0.2">
      <c r="C50" s="58"/>
      <c r="D50" s="58"/>
    </row>
    <row r="51" spans="3:4" s="59" customFormat="1" ht="12" customHeight="1" x14ac:dyDescent="0.2">
      <c r="C51" s="58"/>
      <c r="D51" s="58"/>
    </row>
    <row r="52" spans="3:4" s="59" customFormat="1" ht="12" customHeight="1" x14ac:dyDescent="0.2">
      <c r="C52" s="58"/>
      <c r="D52" s="58"/>
    </row>
    <row r="53" spans="3:4" s="59" customFormat="1" ht="12" customHeight="1" x14ac:dyDescent="0.2">
      <c r="C53" s="58"/>
      <c r="D53" s="58"/>
    </row>
    <row r="54" spans="3:4" s="59" customFormat="1" ht="12" customHeight="1" x14ac:dyDescent="0.2">
      <c r="C54" s="58"/>
      <c r="D54" s="58"/>
    </row>
    <row r="55" spans="3:4" s="59" customFormat="1" ht="12" customHeight="1" x14ac:dyDescent="0.2">
      <c r="C55" s="58"/>
      <c r="D55" s="58"/>
    </row>
    <row r="56" spans="3:4" s="59" customFormat="1" ht="12" customHeight="1" x14ac:dyDescent="0.2">
      <c r="C56" s="58"/>
      <c r="D56" s="58"/>
    </row>
    <row r="57" spans="3:4" s="59" customFormat="1" ht="12" customHeight="1" x14ac:dyDescent="0.2">
      <c r="C57" s="58"/>
      <c r="D57" s="58"/>
    </row>
    <row r="58" spans="3:4" s="59" customFormat="1" ht="12" customHeight="1" x14ac:dyDescent="0.2">
      <c r="C58" s="58"/>
      <c r="D58" s="58"/>
    </row>
    <row r="59" spans="3:4" s="59" customFormat="1" ht="12" customHeight="1" x14ac:dyDescent="0.2">
      <c r="C59" s="58"/>
      <c r="D59" s="58"/>
    </row>
    <row r="60" spans="3:4" s="59" customFormat="1" ht="12" customHeight="1" x14ac:dyDescent="0.2">
      <c r="C60" s="58"/>
      <c r="D60" s="58"/>
    </row>
    <row r="61" spans="3:4" s="59" customFormat="1" ht="12" customHeight="1" x14ac:dyDescent="0.2">
      <c r="C61" s="58"/>
      <c r="D61" s="58"/>
    </row>
    <row r="62" spans="3:4" s="59" customFormat="1" ht="12" customHeight="1" x14ac:dyDescent="0.2">
      <c r="C62" s="58"/>
      <c r="D62" s="58"/>
    </row>
    <row r="63" spans="3:4" s="59" customFormat="1" ht="12" customHeight="1" x14ac:dyDescent="0.2">
      <c r="C63" s="58"/>
      <c r="D63" s="58"/>
    </row>
    <row r="64" spans="3:4" s="59" customFormat="1" ht="12" customHeight="1" x14ac:dyDescent="0.2">
      <c r="C64" s="58"/>
      <c r="D64" s="58"/>
    </row>
    <row r="65" spans="3:4" s="59" customFormat="1" ht="12" customHeight="1" x14ac:dyDescent="0.2">
      <c r="C65" s="58"/>
      <c r="D65" s="58"/>
    </row>
    <row r="66" spans="3:4" s="59" customFormat="1" ht="12" customHeight="1" x14ac:dyDescent="0.2">
      <c r="C66" s="58"/>
      <c r="D66" s="58"/>
    </row>
    <row r="67" spans="3:4" s="59" customFormat="1" ht="12" customHeight="1" x14ac:dyDescent="0.2">
      <c r="C67" s="58"/>
      <c r="D67" s="58"/>
    </row>
    <row r="68" spans="3:4" s="59" customFormat="1" ht="12" customHeight="1" x14ac:dyDescent="0.2">
      <c r="C68" s="58"/>
      <c r="D68" s="58"/>
    </row>
    <row r="69" spans="3:4" s="59" customFormat="1" ht="12" customHeight="1" x14ac:dyDescent="0.2">
      <c r="C69" s="58"/>
      <c r="D69" s="58"/>
    </row>
    <row r="70" spans="3:4" s="59" customFormat="1" ht="12" customHeight="1" x14ac:dyDescent="0.2">
      <c r="C70" s="58"/>
      <c r="D70" s="58"/>
    </row>
    <row r="71" spans="3:4" s="59" customFormat="1" ht="12" customHeight="1" x14ac:dyDescent="0.2">
      <c r="C71" s="58"/>
      <c r="D71" s="58"/>
    </row>
    <row r="72" spans="3:4" s="59" customFormat="1" ht="12" customHeight="1" x14ac:dyDescent="0.2">
      <c r="C72" s="58"/>
      <c r="D72" s="58"/>
    </row>
    <row r="73" spans="3:4" s="59" customFormat="1" ht="12" customHeight="1" x14ac:dyDescent="0.2">
      <c r="C73" s="58"/>
      <c r="D73" s="58"/>
    </row>
    <row r="74" spans="3:4" s="59" customFormat="1" ht="12" customHeight="1" x14ac:dyDescent="0.2">
      <c r="C74" s="58"/>
      <c r="D74" s="58"/>
    </row>
    <row r="75" spans="3:4" s="59" customFormat="1" ht="12" customHeight="1" x14ac:dyDescent="0.2">
      <c r="C75" s="58"/>
      <c r="D75" s="58"/>
    </row>
    <row r="76" spans="3:4" s="59" customFormat="1" ht="12" customHeight="1" x14ac:dyDescent="0.2">
      <c r="C76" s="58"/>
      <c r="D76" s="58"/>
    </row>
    <row r="77" spans="3:4" s="59" customFormat="1" ht="12" customHeight="1" x14ac:dyDescent="0.2">
      <c r="C77" s="58"/>
      <c r="D77" s="58"/>
    </row>
    <row r="78" spans="3:4" s="59" customFormat="1" ht="12" customHeight="1" x14ac:dyDescent="0.2">
      <c r="C78" s="58"/>
      <c r="D78" s="58"/>
    </row>
    <row r="79" spans="3:4" s="59" customFormat="1" ht="12" customHeight="1" x14ac:dyDescent="0.2">
      <c r="C79" s="58"/>
      <c r="D79" s="58"/>
    </row>
    <row r="80" spans="3:4" s="59" customFormat="1" ht="12" customHeight="1" x14ac:dyDescent="0.2">
      <c r="C80" s="58"/>
      <c r="D80" s="58"/>
    </row>
    <row r="81" spans="3:4" s="59" customFormat="1" ht="12" customHeight="1" x14ac:dyDescent="0.2">
      <c r="C81" s="58"/>
      <c r="D81" s="58"/>
    </row>
    <row r="82" spans="3:4" s="59" customFormat="1" ht="12" customHeight="1" x14ac:dyDescent="0.2">
      <c r="C82" s="58"/>
      <c r="D82" s="58"/>
    </row>
    <row r="83" spans="3:4" s="59" customFormat="1" ht="12" customHeight="1" x14ac:dyDescent="0.2">
      <c r="C83" s="58"/>
      <c r="D83" s="58"/>
    </row>
    <row r="84" spans="3:4" s="59" customFormat="1" ht="12" customHeight="1" x14ac:dyDescent="0.2">
      <c r="C84" s="58"/>
      <c r="D84" s="58"/>
    </row>
    <row r="85" spans="3:4" s="59" customFormat="1" ht="12" customHeight="1" x14ac:dyDescent="0.2">
      <c r="C85" s="58"/>
      <c r="D85" s="58"/>
    </row>
    <row r="86" spans="3:4" s="59" customFormat="1" ht="12" customHeight="1" x14ac:dyDescent="0.2">
      <c r="C86" s="58"/>
      <c r="D86" s="58"/>
    </row>
    <row r="87" spans="3:4" s="59" customFormat="1" ht="12" customHeight="1" x14ac:dyDescent="0.2">
      <c r="C87" s="58"/>
      <c r="D87" s="58"/>
    </row>
    <row r="88" spans="3:4" s="59" customFormat="1" ht="12" customHeight="1" x14ac:dyDescent="0.2">
      <c r="C88" s="58"/>
      <c r="D88" s="58"/>
    </row>
    <row r="89" spans="3:4" s="59" customFormat="1" ht="12" customHeight="1" x14ac:dyDescent="0.2">
      <c r="C89" s="58"/>
      <c r="D89" s="58"/>
    </row>
    <row r="90" spans="3:4" s="59" customFormat="1" ht="12" customHeight="1" x14ac:dyDescent="0.2">
      <c r="C90" s="58"/>
      <c r="D90" s="58"/>
    </row>
    <row r="91" spans="3:4" s="59" customFormat="1" ht="12" customHeight="1" x14ac:dyDescent="0.2">
      <c r="C91" s="58"/>
      <c r="D91" s="58"/>
    </row>
    <row r="92" spans="3:4" s="59" customFormat="1" ht="12" customHeight="1" x14ac:dyDescent="0.2">
      <c r="C92" s="58"/>
      <c r="D92" s="58"/>
    </row>
    <row r="93" spans="3:4" s="59" customFormat="1" ht="12" customHeight="1" x14ac:dyDescent="0.2">
      <c r="C93" s="58"/>
      <c r="D93" s="58"/>
    </row>
    <row r="94" spans="3:4" s="59" customFormat="1" ht="12" customHeight="1" x14ac:dyDescent="0.2">
      <c r="C94" s="58"/>
      <c r="D94" s="58"/>
    </row>
    <row r="95" spans="3:4" s="59" customFormat="1" ht="12" customHeight="1" x14ac:dyDescent="0.2">
      <c r="C95" s="58"/>
      <c r="D95" s="58"/>
    </row>
    <row r="96" spans="3:4" s="59" customFormat="1" ht="12" customHeight="1" x14ac:dyDescent="0.2">
      <c r="C96" s="58"/>
      <c r="D96" s="58"/>
    </row>
    <row r="97" spans="3:4" s="59" customFormat="1" ht="12" customHeight="1" x14ac:dyDescent="0.2">
      <c r="C97" s="58"/>
      <c r="D97" s="58"/>
    </row>
    <row r="98" spans="3:4" s="59" customFormat="1" ht="12" customHeight="1" x14ac:dyDescent="0.2">
      <c r="C98" s="58"/>
      <c r="D98" s="58"/>
    </row>
    <row r="99" spans="3:4" s="59" customFormat="1" ht="12" customHeight="1" x14ac:dyDescent="0.2">
      <c r="C99" s="58"/>
      <c r="D99" s="58"/>
    </row>
    <row r="100" spans="3:4" s="59" customFormat="1" ht="12" customHeight="1" x14ac:dyDescent="0.2">
      <c r="C100" s="58"/>
      <c r="D100" s="58"/>
    </row>
    <row r="101" spans="3:4" s="59" customFormat="1" ht="12" customHeight="1" x14ac:dyDescent="0.2">
      <c r="C101" s="58"/>
      <c r="D101" s="58"/>
    </row>
    <row r="102" spans="3:4" s="59" customFormat="1" ht="12" customHeight="1" x14ac:dyDescent="0.2">
      <c r="C102" s="58"/>
      <c r="D102" s="58"/>
    </row>
    <row r="103" spans="3:4" s="59" customFormat="1" ht="12" customHeight="1" x14ac:dyDescent="0.2">
      <c r="C103" s="58"/>
      <c r="D103" s="58"/>
    </row>
    <row r="104" spans="3:4" s="59" customFormat="1" ht="12" customHeight="1" x14ac:dyDescent="0.2">
      <c r="C104" s="58"/>
      <c r="D104" s="58"/>
    </row>
    <row r="105" spans="3:4" s="59" customFormat="1" ht="12" customHeight="1" x14ac:dyDescent="0.2">
      <c r="C105" s="58"/>
      <c r="D105" s="58"/>
    </row>
    <row r="106" spans="3:4" s="59" customFormat="1" ht="12" customHeight="1" x14ac:dyDescent="0.2">
      <c r="C106" s="58"/>
      <c r="D106" s="58"/>
    </row>
    <row r="107" spans="3:4" s="59" customFormat="1" ht="12" customHeight="1" x14ac:dyDescent="0.2">
      <c r="C107" s="58"/>
      <c r="D107" s="58"/>
    </row>
    <row r="108" spans="3:4" s="59" customFormat="1" ht="12" customHeight="1" x14ac:dyDescent="0.2">
      <c r="C108" s="58"/>
      <c r="D108" s="58"/>
    </row>
    <row r="109" spans="3:4" s="59" customFormat="1" ht="12" customHeight="1" x14ac:dyDescent="0.2">
      <c r="C109" s="58"/>
      <c r="D109" s="58"/>
    </row>
    <row r="110" spans="3:4" s="59" customFormat="1" ht="12" customHeight="1" x14ac:dyDescent="0.2">
      <c r="C110" s="58"/>
      <c r="D110" s="58"/>
    </row>
    <row r="111" spans="3:4" s="59" customFormat="1" ht="12" customHeight="1" x14ac:dyDescent="0.2">
      <c r="C111" s="58"/>
      <c r="D111" s="58"/>
    </row>
    <row r="112" spans="3:4" s="59" customFormat="1" ht="12" customHeight="1" x14ac:dyDescent="0.2">
      <c r="C112" s="58"/>
      <c r="D112" s="58"/>
    </row>
    <row r="113" spans="3:4" s="59" customFormat="1" ht="12" customHeight="1" x14ac:dyDescent="0.2">
      <c r="C113" s="58"/>
      <c r="D113" s="58"/>
    </row>
    <row r="114" spans="3:4" s="59" customFormat="1" ht="12" customHeight="1" x14ac:dyDescent="0.2">
      <c r="C114" s="58"/>
      <c r="D114" s="58"/>
    </row>
    <row r="115" spans="3:4" s="59" customFormat="1" ht="12" customHeight="1" x14ac:dyDescent="0.2">
      <c r="C115" s="58"/>
      <c r="D115" s="58"/>
    </row>
    <row r="116" spans="3:4" s="59" customFormat="1" ht="12" customHeight="1" x14ac:dyDescent="0.2">
      <c r="C116" s="58"/>
      <c r="D116" s="58"/>
    </row>
    <row r="117" spans="3:4" s="59" customFormat="1" ht="12" customHeight="1" x14ac:dyDescent="0.2">
      <c r="C117" s="58"/>
      <c r="D117" s="58"/>
    </row>
    <row r="118" spans="3:4" s="59" customFormat="1" ht="12" customHeight="1" x14ac:dyDescent="0.2">
      <c r="C118" s="58"/>
      <c r="D118" s="58"/>
    </row>
    <row r="119" spans="3:4" s="59" customFormat="1" ht="12" customHeight="1" x14ac:dyDescent="0.2">
      <c r="C119" s="58"/>
      <c r="D119" s="58"/>
    </row>
    <row r="120" spans="3:4" s="59" customFormat="1" ht="12" customHeight="1" x14ac:dyDescent="0.2">
      <c r="C120" s="58"/>
      <c r="D120" s="58"/>
    </row>
    <row r="121" spans="3:4" s="59" customFormat="1" ht="12" customHeight="1" x14ac:dyDescent="0.2">
      <c r="C121" s="58"/>
      <c r="D121" s="58"/>
    </row>
    <row r="122" spans="3:4" s="59" customFormat="1" ht="12" customHeight="1" x14ac:dyDescent="0.2">
      <c r="C122" s="58"/>
      <c r="D122" s="58"/>
    </row>
    <row r="123" spans="3:4" s="59" customFormat="1" ht="12" customHeight="1" x14ac:dyDescent="0.2">
      <c r="C123" s="58"/>
      <c r="D123" s="58"/>
    </row>
    <row r="124" spans="3:4" s="59" customFormat="1" ht="12" customHeight="1" x14ac:dyDescent="0.2">
      <c r="C124" s="58"/>
      <c r="D124" s="58"/>
    </row>
    <row r="125" spans="3:4" s="59" customFormat="1" ht="12" customHeight="1" x14ac:dyDescent="0.2">
      <c r="C125" s="58"/>
      <c r="D125" s="58"/>
    </row>
    <row r="126" spans="3:4" s="59" customFormat="1" ht="12" customHeight="1" x14ac:dyDescent="0.2">
      <c r="C126" s="58"/>
      <c r="D126" s="58"/>
    </row>
    <row r="127" spans="3:4" s="59" customFormat="1" ht="12" customHeight="1" x14ac:dyDescent="0.2">
      <c r="C127" s="58"/>
      <c r="D127" s="58"/>
    </row>
    <row r="128" spans="3:4" s="59" customFormat="1" ht="12" customHeight="1" x14ac:dyDescent="0.2">
      <c r="C128" s="58"/>
      <c r="D128" s="58"/>
    </row>
    <row r="129" spans="3:4" s="59" customFormat="1" ht="12" customHeight="1" x14ac:dyDescent="0.2">
      <c r="C129" s="58"/>
      <c r="D129" s="58"/>
    </row>
    <row r="130" spans="3:4" s="59" customFormat="1" ht="12" customHeight="1" x14ac:dyDescent="0.2">
      <c r="C130" s="58"/>
      <c r="D130" s="58"/>
    </row>
    <row r="131" spans="3:4" s="59" customFormat="1" ht="12" customHeight="1" x14ac:dyDescent="0.2">
      <c r="C131" s="58"/>
      <c r="D131" s="58"/>
    </row>
    <row r="132" spans="3:4" s="59" customFormat="1" ht="12" customHeight="1" x14ac:dyDescent="0.2">
      <c r="C132" s="58"/>
      <c r="D132" s="58"/>
    </row>
    <row r="133" spans="3:4" s="59" customFormat="1" ht="12" customHeight="1" x14ac:dyDescent="0.2">
      <c r="C133" s="58"/>
      <c r="D133" s="58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1"/>
  <sheetViews>
    <sheetView workbookViewId="0">
      <selection activeCell="A11" sqref="A11:C34"/>
    </sheetView>
  </sheetViews>
  <sheetFormatPr defaultRowHeight="12.75" x14ac:dyDescent="0.2"/>
  <cols>
    <col min="1" max="1" width="19.7109375" style="7" customWidth="1"/>
    <col min="2" max="2" width="4.42578125" style="9" customWidth="1"/>
    <col min="3" max="3" width="12.7109375" style="7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7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40" t="s">
        <v>41</v>
      </c>
      <c r="I1" s="41" t="s">
        <v>42</v>
      </c>
      <c r="J1" s="42" t="s">
        <v>40</v>
      </c>
    </row>
    <row r="2" spans="1:16" x14ac:dyDescent="0.2">
      <c r="I2" s="43" t="s">
        <v>43</v>
      </c>
      <c r="J2" s="44" t="s">
        <v>39</v>
      </c>
    </row>
    <row r="3" spans="1:16" x14ac:dyDescent="0.2">
      <c r="A3" s="45" t="s">
        <v>44</v>
      </c>
      <c r="I3" s="43" t="s">
        <v>45</v>
      </c>
      <c r="J3" s="44" t="s">
        <v>37</v>
      </c>
    </row>
    <row r="4" spans="1:16" x14ac:dyDescent="0.2">
      <c r="I4" s="43" t="s">
        <v>46</v>
      </c>
      <c r="J4" s="44" t="s">
        <v>37</v>
      </c>
    </row>
    <row r="5" spans="1:16" ht="13.5" thickBot="1" x14ac:dyDescent="0.25">
      <c r="I5" s="46" t="s">
        <v>47</v>
      </c>
      <c r="J5" s="47" t="s">
        <v>38</v>
      </c>
    </row>
    <row r="10" spans="1:16" ht="13.5" thickBot="1" x14ac:dyDescent="0.25"/>
    <row r="11" spans="1:16" ht="12.75" customHeight="1" thickBot="1" x14ac:dyDescent="0.25">
      <c r="A11" s="7" t="str">
        <f t="shared" ref="A11:A34" si="0">P11</f>
        <v> AC 157.18 </v>
      </c>
      <c r="B11" s="2" t="str">
        <f t="shared" ref="B11:B34" si="1">IF(H11=INT(H11),"I","II")</f>
        <v>I</v>
      </c>
      <c r="C11" s="7">
        <f t="shared" ref="C11:C34" si="2">1*G11</f>
        <v>29726.155999999999</v>
      </c>
      <c r="D11" s="9" t="str">
        <f t="shared" ref="D11:D34" si="3">VLOOKUP(F11,I$1:J$5,2,FALSE)</f>
        <v>vis</v>
      </c>
      <c r="E11" s="48">
        <f>VLOOKUP(C11,Active!C$21:E$973,3,FALSE)</f>
        <v>-10326.945873441073</v>
      </c>
      <c r="F11" s="2" t="s">
        <v>47</v>
      </c>
      <c r="G11" s="9" t="str">
        <f t="shared" ref="G11:G34" si="4">MID(I11,3,LEN(I11)-3)</f>
        <v>29726.156</v>
      </c>
      <c r="H11" s="7">
        <f t="shared" ref="H11:H34" si="5">1*K11</f>
        <v>0</v>
      </c>
      <c r="I11" s="49" t="s">
        <v>49</v>
      </c>
      <c r="J11" s="50" t="s">
        <v>50</v>
      </c>
      <c r="K11" s="49">
        <v>0</v>
      </c>
      <c r="L11" s="49" t="s">
        <v>51</v>
      </c>
      <c r="M11" s="50" t="s">
        <v>52</v>
      </c>
      <c r="N11" s="50"/>
      <c r="O11" s="51" t="s">
        <v>53</v>
      </c>
      <c r="P11" s="51" t="s">
        <v>54</v>
      </c>
    </row>
    <row r="12" spans="1:16" ht="12.75" customHeight="1" thickBot="1" x14ac:dyDescent="0.25">
      <c r="A12" s="7" t="str">
        <f t="shared" si="0"/>
        <v> VSS 2.97 </v>
      </c>
      <c r="B12" s="2" t="str">
        <f t="shared" si="1"/>
        <v>I</v>
      </c>
      <c r="C12" s="7">
        <f t="shared" si="2"/>
        <v>30382.467000000001</v>
      </c>
      <c r="D12" s="9" t="str">
        <f t="shared" si="3"/>
        <v>vis</v>
      </c>
      <c r="E12" s="48">
        <f>VLOOKUP(C12,Active!C$21:E$973,3,FALSE)</f>
        <v>-10071.942264934158</v>
      </c>
      <c r="F12" s="2" t="s">
        <v>47</v>
      </c>
      <c r="G12" s="9" t="str">
        <f t="shared" si="4"/>
        <v>30382.467</v>
      </c>
      <c r="H12" s="7">
        <f t="shared" si="5"/>
        <v>584</v>
      </c>
      <c r="I12" s="49" t="s">
        <v>55</v>
      </c>
      <c r="J12" s="50" t="s">
        <v>56</v>
      </c>
      <c r="K12" s="49">
        <v>584</v>
      </c>
      <c r="L12" s="49" t="s">
        <v>57</v>
      </c>
      <c r="M12" s="50" t="s">
        <v>52</v>
      </c>
      <c r="N12" s="50"/>
      <c r="O12" s="51" t="s">
        <v>58</v>
      </c>
      <c r="P12" s="51" t="s">
        <v>59</v>
      </c>
    </row>
    <row r="13" spans="1:16" ht="12.75" customHeight="1" thickBot="1" x14ac:dyDescent="0.25">
      <c r="A13" s="7" t="str">
        <f t="shared" si="0"/>
        <v> VSS 2.97 </v>
      </c>
      <c r="B13" s="2" t="str">
        <f t="shared" si="1"/>
        <v>II</v>
      </c>
      <c r="C13" s="7">
        <f t="shared" si="2"/>
        <v>30431.376</v>
      </c>
      <c r="D13" s="9" t="str">
        <f t="shared" si="3"/>
        <v>vis</v>
      </c>
      <c r="E13" s="48">
        <f>VLOOKUP(C13,Active!C$21:E$973,3,FALSE)</f>
        <v>-10052.939122386699</v>
      </c>
      <c r="F13" s="2" t="s">
        <v>47</v>
      </c>
      <c r="G13" s="9" t="str">
        <f t="shared" si="4"/>
        <v>30431.376</v>
      </c>
      <c r="H13" s="7">
        <f t="shared" si="5"/>
        <v>627.5</v>
      </c>
      <c r="I13" s="49" t="s">
        <v>60</v>
      </c>
      <c r="J13" s="50" t="s">
        <v>61</v>
      </c>
      <c r="K13" s="49">
        <v>627.5</v>
      </c>
      <c r="L13" s="49" t="s">
        <v>62</v>
      </c>
      <c r="M13" s="50" t="s">
        <v>52</v>
      </c>
      <c r="N13" s="50"/>
      <c r="O13" s="51" t="s">
        <v>58</v>
      </c>
      <c r="P13" s="51" t="s">
        <v>59</v>
      </c>
    </row>
    <row r="14" spans="1:16" ht="12.75" customHeight="1" thickBot="1" x14ac:dyDescent="0.25">
      <c r="A14" s="7" t="str">
        <f t="shared" si="0"/>
        <v> VSS 2.97 </v>
      </c>
      <c r="B14" s="2" t="str">
        <f t="shared" si="1"/>
        <v>I</v>
      </c>
      <c r="C14" s="7">
        <f t="shared" si="2"/>
        <v>30781.345000000001</v>
      </c>
      <c r="D14" s="9" t="str">
        <f t="shared" si="3"/>
        <v>vis</v>
      </c>
      <c r="E14" s="48">
        <f>VLOOKUP(C14,Active!C$21:E$973,3,FALSE)</f>
        <v>-9916.9618831425651</v>
      </c>
      <c r="F14" s="2" t="s">
        <v>47</v>
      </c>
      <c r="G14" s="9" t="str">
        <f t="shared" si="4"/>
        <v>30781.345</v>
      </c>
      <c r="H14" s="7">
        <f t="shared" si="5"/>
        <v>939</v>
      </c>
      <c r="I14" s="49" t="s">
        <v>63</v>
      </c>
      <c r="J14" s="50" t="s">
        <v>64</v>
      </c>
      <c r="K14" s="49">
        <v>939</v>
      </c>
      <c r="L14" s="49" t="s">
        <v>65</v>
      </c>
      <c r="M14" s="50" t="s">
        <v>52</v>
      </c>
      <c r="N14" s="50"/>
      <c r="O14" s="51" t="s">
        <v>58</v>
      </c>
      <c r="P14" s="51" t="s">
        <v>59</v>
      </c>
    </row>
    <row r="15" spans="1:16" ht="12.75" customHeight="1" thickBot="1" x14ac:dyDescent="0.25">
      <c r="A15" s="7" t="str">
        <f t="shared" si="0"/>
        <v> AC 157.18 </v>
      </c>
      <c r="B15" s="2" t="str">
        <f t="shared" si="1"/>
        <v>I</v>
      </c>
      <c r="C15" s="7">
        <f t="shared" si="2"/>
        <v>31979.243999999999</v>
      </c>
      <c r="D15" s="9" t="str">
        <f t="shared" si="3"/>
        <v>vis</v>
      </c>
      <c r="E15" s="48">
        <f>VLOOKUP(C15,Active!C$21:E$973,3,FALSE)</f>
        <v>-9451.5292336413004</v>
      </c>
      <c r="F15" s="2" t="s">
        <v>47</v>
      </c>
      <c r="G15" s="9" t="str">
        <f t="shared" si="4"/>
        <v>31979.244</v>
      </c>
      <c r="H15" s="7">
        <f t="shared" si="5"/>
        <v>2005</v>
      </c>
      <c r="I15" s="49" t="s">
        <v>66</v>
      </c>
      <c r="J15" s="50" t="s">
        <v>67</v>
      </c>
      <c r="K15" s="49">
        <v>2005</v>
      </c>
      <c r="L15" s="49" t="s">
        <v>68</v>
      </c>
      <c r="M15" s="50" t="s">
        <v>52</v>
      </c>
      <c r="N15" s="50"/>
      <c r="O15" s="51" t="s">
        <v>53</v>
      </c>
      <c r="P15" s="51" t="s">
        <v>54</v>
      </c>
    </row>
    <row r="16" spans="1:16" ht="12.75" customHeight="1" thickBot="1" x14ac:dyDescent="0.25">
      <c r="A16" s="7" t="str">
        <f t="shared" si="0"/>
        <v> AC 157.18 </v>
      </c>
      <c r="B16" s="2" t="str">
        <f t="shared" si="1"/>
        <v>I</v>
      </c>
      <c r="C16" s="7">
        <f t="shared" si="2"/>
        <v>33204.379999999997</v>
      </c>
      <c r="D16" s="9" t="str">
        <f t="shared" si="3"/>
        <v>vis</v>
      </c>
      <c r="E16" s="48">
        <f>VLOOKUP(C16,Active!C$21:E$973,3,FALSE)</f>
        <v>-8975.5138980584306</v>
      </c>
      <c r="F16" s="2" t="s">
        <v>47</v>
      </c>
      <c r="G16" s="9" t="str">
        <f t="shared" si="4"/>
        <v>33204.380</v>
      </c>
      <c r="H16" s="7">
        <f t="shared" si="5"/>
        <v>3095</v>
      </c>
      <c r="I16" s="49" t="s">
        <v>69</v>
      </c>
      <c r="J16" s="50" t="s">
        <v>70</v>
      </c>
      <c r="K16" s="49">
        <v>3095</v>
      </c>
      <c r="L16" s="49" t="s">
        <v>71</v>
      </c>
      <c r="M16" s="50" t="s">
        <v>52</v>
      </c>
      <c r="N16" s="50"/>
      <c r="O16" s="51" t="s">
        <v>53</v>
      </c>
      <c r="P16" s="51" t="s">
        <v>54</v>
      </c>
    </row>
    <row r="17" spans="1:16" ht="12.75" customHeight="1" thickBot="1" x14ac:dyDescent="0.25">
      <c r="A17" s="7" t="str">
        <f t="shared" si="0"/>
        <v> MVS 672 </v>
      </c>
      <c r="B17" s="2" t="str">
        <f t="shared" si="1"/>
        <v>II</v>
      </c>
      <c r="C17" s="7">
        <f t="shared" si="2"/>
        <v>33356.383000000002</v>
      </c>
      <c r="D17" s="9" t="str">
        <f t="shared" si="3"/>
        <v>vis</v>
      </c>
      <c r="E17" s="48">
        <f>VLOOKUP(C17,Active!C$21:E$973,3,FALSE)</f>
        <v>-8916.454529094819</v>
      </c>
      <c r="F17" s="2" t="s">
        <v>47</v>
      </c>
      <c r="G17" s="9" t="str">
        <f t="shared" si="4"/>
        <v>33356.383</v>
      </c>
      <c r="H17" s="7">
        <f t="shared" si="5"/>
        <v>3230.5</v>
      </c>
      <c r="I17" s="49" t="s">
        <v>72</v>
      </c>
      <c r="J17" s="50" t="s">
        <v>73</v>
      </c>
      <c r="K17" s="49">
        <v>3230.5</v>
      </c>
      <c r="L17" s="49" t="s">
        <v>74</v>
      </c>
      <c r="M17" s="50" t="s">
        <v>52</v>
      </c>
      <c r="N17" s="50"/>
      <c r="O17" s="51" t="s">
        <v>75</v>
      </c>
      <c r="P17" s="51" t="s">
        <v>76</v>
      </c>
    </row>
    <row r="18" spans="1:16" ht="12.75" customHeight="1" thickBot="1" x14ac:dyDescent="0.25">
      <c r="A18" s="7" t="str">
        <f t="shared" si="0"/>
        <v> VSS 2.97 </v>
      </c>
      <c r="B18" s="2" t="str">
        <f t="shared" si="1"/>
        <v>II</v>
      </c>
      <c r="C18" s="7">
        <f t="shared" si="2"/>
        <v>33604.663999999997</v>
      </c>
      <c r="D18" s="9" t="str">
        <f t="shared" si="3"/>
        <v>vis</v>
      </c>
      <c r="E18" s="48">
        <f>VLOOKUP(C18,Active!C$21:E$973,3,FALSE)</f>
        <v>-8819.987227885933</v>
      </c>
      <c r="F18" s="2" t="s">
        <v>47</v>
      </c>
      <c r="G18" s="9" t="str">
        <f t="shared" si="4"/>
        <v>33604.664</v>
      </c>
      <c r="H18" s="7">
        <f t="shared" si="5"/>
        <v>3451.5</v>
      </c>
      <c r="I18" s="49" t="s">
        <v>77</v>
      </c>
      <c r="J18" s="50" t="s">
        <v>78</v>
      </c>
      <c r="K18" s="49">
        <v>3451.5</v>
      </c>
      <c r="L18" s="49" t="s">
        <v>79</v>
      </c>
      <c r="M18" s="50" t="s">
        <v>52</v>
      </c>
      <c r="N18" s="50"/>
      <c r="O18" s="51" t="s">
        <v>58</v>
      </c>
      <c r="P18" s="51" t="s">
        <v>59</v>
      </c>
    </row>
    <row r="19" spans="1:16" ht="12.75" customHeight="1" thickBot="1" x14ac:dyDescent="0.25">
      <c r="A19" s="7" t="str">
        <f t="shared" si="0"/>
        <v> VSS 2.97 </v>
      </c>
      <c r="B19" s="2" t="str">
        <f t="shared" si="1"/>
        <v>II</v>
      </c>
      <c r="C19" s="7">
        <f t="shared" si="2"/>
        <v>33630.54</v>
      </c>
      <c r="D19" s="9" t="str">
        <f t="shared" si="3"/>
        <v>vis</v>
      </c>
      <c r="E19" s="48">
        <f>VLOOKUP(C19,Active!C$21:E$973,3,FALSE)</f>
        <v>-8809.9333458487199</v>
      </c>
      <c r="F19" s="2" t="s">
        <v>47</v>
      </c>
      <c r="G19" s="9" t="str">
        <f t="shared" si="4"/>
        <v>33630.540</v>
      </c>
      <c r="H19" s="7">
        <f t="shared" si="5"/>
        <v>3474.5</v>
      </c>
      <c r="I19" s="49" t="s">
        <v>80</v>
      </c>
      <c r="J19" s="50" t="s">
        <v>81</v>
      </c>
      <c r="K19" s="49">
        <v>3474.5</v>
      </c>
      <c r="L19" s="49" t="s">
        <v>82</v>
      </c>
      <c r="M19" s="50" t="s">
        <v>52</v>
      </c>
      <c r="N19" s="50"/>
      <c r="O19" s="51" t="s">
        <v>58</v>
      </c>
      <c r="P19" s="51" t="s">
        <v>59</v>
      </c>
    </row>
    <row r="20" spans="1:16" ht="12.75" customHeight="1" thickBot="1" x14ac:dyDescent="0.25">
      <c r="A20" s="7" t="str">
        <f t="shared" si="0"/>
        <v> AC 157.18 </v>
      </c>
      <c r="B20" s="2" t="str">
        <f t="shared" si="1"/>
        <v>I</v>
      </c>
      <c r="C20" s="7">
        <f t="shared" si="2"/>
        <v>34449.173999999999</v>
      </c>
      <c r="D20" s="9" t="str">
        <f t="shared" si="3"/>
        <v>vis</v>
      </c>
      <c r="E20" s="48">
        <f>VLOOKUP(C20,Active!C$21:E$973,3,FALSE)</f>
        <v>-8491.860627203976</v>
      </c>
      <c r="F20" s="2" t="s">
        <v>47</v>
      </c>
      <c r="G20" s="9" t="str">
        <f t="shared" si="4"/>
        <v>34449.174</v>
      </c>
      <c r="H20" s="7">
        <f t="shared" si="5"/>
        <v>4203</v>
      </c>
      <c r="I20" s="49" t="s">
        <v>83</v>
      </c>
      <c r="J20" s="50" t="s">
        <v>84</v>
      </c>
      <c r="K20" s="49">
        <v>4203</v>
      </c>
      <c r="L20" s="49" t="s">
        <v>85</v>
      </c>
      <c r="M20" s="50" t="s">
        <v>52</v>
      </c>
      <c r="N20" s="50"/>
      <c r="O20" s="51" t="s">
        <v>53</v>
      </c>
      <c r="P20" s="51" t="s">
        <v>54</v>
      </c>
    </row>
    <row r="21" spans="1:16" ht="12.75" customHeight="1" thickBot="1" x14ac:dyDescent="0.25">
      <c r="A21" s="7" t="str">
        <f t="shared" si="0"/>
        <v> MVS 672 </v>
      </c>
      <c r="B21" s="2" t="str">
        <f t="shared" si="1"/>
        <v>I</v>
      </c>
      <c r="C21" s="7">
        <f t="shared" si="2"/>
        <v>34662.601000000002</v>
      </c>
      <c r="D21" s="9" t="str">
        <f t="shared" si="3"/>
        <v>vis</v>
      </c>
      <c r="E21" s="48">
        <f>VLOOKUP(C21,Active!C$21:E$973,3,FALSE)</f>
        <v>-8408.9355274375448</v>
      </c>
      <c r="F21" s="2" t="s">
        <v>47</v>
      </c>
      <c r="G21" s="9" t="str">
        <f t="shared" si="4"/>
        <v>34662.601</v>
      </c>
      <c r="H21" s="7">
        <f t="shared" si="5"/>
        <v>4393</v>
      </c>
      <c r="I21" s="49" t="s">
        <v>86</v>
      </c>
      <c r="J21" s="50" t="s">
        <v>87</v>
      </c>
      <c r="K21" s="49">
        <v>4393</v>
      </c>
      <c r="L21" s="49" t="s">
        <v>88</v>
      </c>
      <c r="M21" s="50" t="s">
        <v>52</v>
      </c>
      <c r="N21" s="50"/>
      <c r="O21" s="51" t="s">
        <v>75</v>
      </c>
      <c r="P21" s="51" t="s">
        <v>76</v>
      </c>
    </row>
    <row r="22" spans="1:16" ht="12.75" customHeight="1" thickBot="1" x14ac:dyDescent="0.25">
      <c r="A22" s="7" t="str">
        <f t="shared" si="0"/>
        <v> MVS 672 </v>
      </c>
      <c r="B22" s="2" t="str">
        <f t="shared" si="1"/>
        <v>I</v>
      </c>
      <c r="C22" s="7">
        <f t="shared" si="2"/>
        <v>34698.608</v>
      </c>
      <c r="D22" s="9" t="str">
        <f t="shared" si="3"/>
        <v>vis</v>
      </c>
      <c r="E22" s="48">
        <f>VLOOKUP(C22,Active!C$21:E$973,3,FALSE)</f>
        <v>-8394.9453384394819</v>
      </c>
      <c r="F22" s="2" t="s">
        <v>47</v>
      </c>
      <c r="G22" s="9" t="str">
        <f t="shared" si="4"/>
        <v>34698.608</v>
      </c>
      <c r="H22" s="7">
        <f t="shared" si="5"/>
        <v>4425</v>
      </c>
      <c r="I22" s="49" t="s">
        <v>89</v>
      </c>
      <c r="J22" s="50" t="s">
        <v>90</v>
      </c>
      <c r="K22" s="49">
        <v>4425</v>
      </c>
      <c r="L22" s="49" t="s">
        <v>91</v>
      </c>
      <c r="M22" s="50" t="s">
        <v>52</v>
      </c>
      <c r="N22" s="50"/>
      <c r="O22" s="51" t="s">
        <v>75</v>
      </c>
      <c r="P22" s="51" t="s">
        <v>76</v>
      </c>
    </row>
    <row r="23" spans="1:16" ht="12.75" customHeight="1" thickBot="1" x14ac:dyDescent="0.25">
      <c r="A23" s="7" t="str">
        <f t="shared" si="0"/>
        <v> MVS 672 </v>
      </c>
      <c r="B23" s="2" t="str">
        <f t="shared" si="1"/>
        <v>II</v>
      </c>
      <c r="C23" s="7">
        <f t="shared" si="2"/>
        <v>35128.385000000002</v>
      </c>
      <c r="D23" s="9" t="str">
        <f t="shared" si="3"/>
        <v>vis</v>
      </c>
      <c r="E23" s="48">
        <f>VLOOKUP(C23,Active!C$21:E$973,3,FALSE)</f>
        <v>-8227.9594341147385</v>
      </c>
      <c r="F23" s="2" t="s">
        <v>47</v>
      </c>
      <c r="G23" s="9" t="str">
        <f t="shared" si="4"/>
        <v>35128.385</v>
      </c>
      <c r="H23" s="7">
        <f t="shared" si="5"/>
        <v>4807.5</v>
      </c>
      <c r="I23" s="49" t="s">
        <v>92</v>
      </c>
      <c r="J23" s="50" t="s">
        <v>93</v>
      </c>
      <c r="K23" s="49">
        <v>4807.5</v>
      </c>
      <c r="L23" s="49" t="s">
        <v>94</v>
      </c>
      <c r="M23" s="50" t="s">
        <v>52</v>
      </c>
      <c r="N23" s="50"/>
      <c r="O23" s="51" t="s">
        <v>75</v>
      </c>
      <c r="P23" s="51" t="s">
        <v>76</v>
      </c>
    </row>
    <row r="24" spans="1:16" ht="12.75" customHeight="1" thickBot="1" x14ac:dyDescent="0.25">
      <c r="A24" s="7" t="str">
        <f t="shared" si="0"/>
        <v> MVS 672 </v>
      </c>
      <c r="B24" s="2" t="str">
        <f t="shared" si="1"/>
        <v>II</v>
      </c>
      <c r="C24" s="7">
        <f t="shared" si="2"/>
        <v>35164.358999999997</v>
      </c>
      <c r="D24" s="9" t="str">
        <f t="shared" si="3"/>
        <v>vis</v>
      </c>
      <c r="E24" s="48">
        <f>VLOOKUP(C24,Active!C$21:E$973,3,FALSE)</f>
        <v>-8213.9820669634537</v>
      </c>
      <c r="F24" s="2" t="s">
        <v>47</v>
      </c>
      <c r="G24" s="9" t="str">
        <f t="shared" si="4"/>
        <v>35164.359</v>
      </c>
      <c r="H24" s="7">
        <f t="shared" si="5"/>
        <v>4839.5</v>
      </c>
      <c r="I24" s="49" t="s">
        <v>95</v>
      </c>
      <c r="J24" s="50" t="s">
        <v>96</v>
      </c>
      <c r="K24" s="49">
        <v>4839.5</v>
      </c>
      <c r="L24" s="49" t="s">
        <v>97</v>
      </c>
      <c r="M24" s="50" t="s">
        <v>52</v>
      </c>
      <c r="N24" s="50"/>
      <c r="O24" s="51" t="s">
        <v>75</v>
      </c>
      <c r="P24" s="51" t="s">
        <v>76</v>
      </c>
    </row>
    <row r="25" spans="1:16" ht="12.75" customHeight="1" thickBot="1" x14ac:dyDescent="0.25">
      <c r="A25" s="7" t="str">
        <f t="shared" si="0"/>
        <v> MVS 672 </v>
      </c>
      <c r="B25" s="2" t="str">
        <f t="shared" si="1"/>
        <v>I</v>
      </c>
      <c r="C25" s="7">
        <f t="shared" si="2"/>
        <v>36160.580999999998</v>
      </c>
      <c r="D25" s="9" t="str">
        <f t="shared" si="3"/>
        <v>vis</v>
      </c>
      <c r="E25" s="48">
        <f>VLOOKUP(C25,Active!C$21:E$973,3,FALSE)</f>
        <v>-7826.9091626940199</v>
      </c>
      <c r="F25" s="2" t="s">
        <v>47</v>
      </c>
      <c r="G25" s="9" t="str">
        <f t="shared" si="4"/>
        <v>36160.581</v>
      </c>
      <c r="H25" s="7">
        <f t="shared" si="5"/>
        <v>5726</v>
      </c>
      <c r="I25" s="49" t="s">
        <v>98</v>
      </c>
      <c r="J25" s="50" t="s">
        <v>99</v>
      </c>
      <c r="K25" s="49">
        <v>5726</v>
      </c>
      <c r="L25" s="49" t="s">
        <v>100</v>
      </c>
      <c r="M25" s="50" t="s">
        <v>52</v>
      </c>
      <c r="N25" s="50"/>
      <c r="O25" s="51" t="s">
        <v>75</v>
      </c>
      <c r="P25" s="51" t="s">
        <v>76</v>
      </c>
    </row>
    <row r="26" spans="1:16" ht="12.75" customHeight="1" thickBot="1" x14ac:dyDescent="0.25">
      <c r="A26" s="7" t="str">
        <f t="shared" si="0"/>
        <v> MVS 672 </v>
      </c>
      <c r="B26" s="2" t="str">
        <f t="shared" si="1"/>
        <v>II</v>
      </c>
      <c r="C26" s="7">
        <f t="shared" si="2"/>
        <v>36245.364999999998</v>
      </c>
      <c r="D26" s="9" t="str">
        <f t="shared" si="3"/>
        <v>vis</v>
      </c>
      <c r="E26" s="48">
        <f>VLOOKUP(C26,Active!C$21:E$973,3,FALSE)</f>
        <v>-7793.9671185356092</v>
      </c>
      <c r="F26" s="2" t="s">
        <v>47</v>
      </c>
      <c r="G26" s="9" t="str">
        <f t="shared" si="4"/>
        <v>36245.365</v>
      </c>
      <c r="H26" s="7">
        <f t="shared" si="5"/>
        <v>5801.5</v>
      </c>
      <c r="I26" s="49" t="s">
        <v>101</v>
      </c>
      <c r="J26" s="50" t="s">
        <v>102</v>
      </c>
      <c r="K26" s="49">
        <v>5801.5</v>
      </c>
      <c r="L26" s="49" t="s">
        <v>103</v>
      </c>
      <c r="M26" s="50" t="s">
        <v>52</v>
      </c>
      <c r="N26" s="50"/>
      <c r="O26" s="51" t="s">
        <v>75</v>
      </c>
      <c r="P26" s="51" t="s">
        <v>76</v>
      </c>
    </row>
    <row r="27" spans="1:16" ht="12.75" customHeight="1" thickBot="1" x14ac:dyDescent="0.25">
      <c r="A27" s="7" t="str">
        <f t="shared" si="0"/>
        <v> MVS 672 </v>
      </c>
      <c r="B27" s="2" t="str">
        <f t="shared" si="1"/>
        <v>II</v>
      </c>
      <c r="C27" s="7">
        <f t="shared" si="2"/>
        <v>36608.392</v>
      </c>
      <c r="D27" s="9" t="str">
        <f t="shared" si="3"/>
        <v>vis</v>
      </c>
      <c r="E27" s="48">
        <f>VLOOKUP(C27,Active!C$21:E$973,3,FALSE)</f>
        <v>-7652.9163133754946</v>
      </c>
      <c r="F27" s="2" t="s">
        <v>47</v>
      </c>
      <c r="G27" s="9" t="str">
        <f t="shared" si="4"/>
        <v>36608.392</v>
      </c>
      <c r="H27" s="7">
        <f t="shared" si="5"/>
        <v>6124.5</v>
      </c>
      <c r="I27" s="49" t="s">
        <v>104</v>
      </c>
      <c r="J27" s="50" t="s">
        <v>105</v>
      </c>
      <c r="K27" s="49">
        <v>6124.5</v>
      </c>
      <c r="L27" s="49" t="s">
        <v>106</v>
      </c>
      <c r="M27" s="50" t="s">
        <v>52</v>
      </c>
      <c r="N27" s="50"/>
      <c r="O27" s="51" t="s">
        <v>75</v>
      </c>
      <c r="P27" s="51" t="s">
        <v>76</v>
      </c>
    </row>
    <row r="28" spans="1:16" ht="12.75" customHeight="1" thickBot="1" x14ac:dyDescent="0.25">
      <c r="A28" s="7" t="str">
        <f t="shared" si="0"/>
        <v> MVS 672 </v>
      </c>
      <c r="B28" s="2" t="str">
        <f t="shared" si="1"/>
        <v>I</v>
      </c>
      <c r="C28" s="7">
        <f t="shared" si="2"/>
        <v>36613.419000000002</v>
      </c>
      <c r="D28" s="9" t="str">
        <f t="shared" si="3"/>
        <v>vis</v>
      </c>
      <c r="E28" s="48">
        <f>VLOOKUP(C28,Active!C$21:E$973,3,FALSE)</f>
        <v>-7650.9631187163086</v>
      </c>
      <c r="F28" s="2" t="s">
        <v>47</v>
      </c>
      <c r="G28" s="9" t="str">
        <f t="shared" si="4"/>
        <v>36613.419</v>
      </c>
      <c r="H28" s="7">
        <f t="shared" si="5"/>
        <v>6129</v>
      </c>
      <c r="I28" s="49" t="s">
        <v>107</v>
      </c>
      <c r="J28" s="50" t="s">
        <v>108</v>
      </c>
      <c r="K28" s="49">
        <v>6129</v>
      </c>
      <c r="L28" s="49" t="s">
        <v>109</v>
      </c>
      <c r="M28" s="50" t="s">
        <v>52</v>
      </c>
      <c r="N28" s="50"/>
      <c r="O28" s="51" t="s">
        <v>75</v>
      </c>
      <c r="P28" s="51" t="s">
        <v>76</v>
      </c>
    </row>
    <row r="29" spans="1:16" ht="12.75" customHeight="1" thickBot="1" x14ac:dyDescent="0.25">
      <c r="A29" s="7" t="str">
        <f t="shared" si="0"/>
        <v> MVS 672 </v>
      </c>
      <c r="B29" s="2" t="str">
        <f t="shared" si="1"/>
        <v>II</v>
      </c>
      <c r="C29" s="7">
        <f t="shared" si="2"/>
        <v>36626.351999999999</v>
      </c>
      <c r="D29" s="9" t="str">
        <f t="shared" si="3"/>
        <v>vis</v>
      </c>
      <c r="E29" s="48">
        <f>VLOOKUP(C29,Active!C$21:E$973,3,FALSE)</f>
        <v>-7645.9381204017609</v>
      </c>
      <c r="F29" s="2" t="s">
        <v>47</v>
      </c>
      <c r="G29" s="9" t="str">
        <f t="shared" si="4"/>
        <v>36626.352</v>
      </c>
      <c r="H29" s="7">
        <f t="shared" si="5"/>
        <v>6140.5</v>
      </c>
      <c r="I29" s="49" t="s">
        <v>110</v>
      </c>
      <c r="J29" s="50" t="s">
        <v>111</v>
      </c>
      <c r="K29" s="49">
        <v>6140.5</v>
      </c>
      <c r="L29" s="49" t="s">
        <v>112</v>
      </c>
      <c r="M29" s="50" t="s">
        <v>52</v>
      </c>
      <c r="N29" s="50"/>
      <c r="O29" s="51" t="s">
        <v>75</v>
      </c>
      <c r="P29" s="51" t="s">
        <v>76</v>
      </c>
    </row>
    <row r="30" spans="1:16" ht="12.75" customHeight="1" thickBot="1" x14ac:dyDescent="0.25">
      <c r="A30" s="7" t="str">
        <f t="shared" si="0"/>
        <v> MVS 672 </v>
      </c>
      <c r="B30" s="2" t="str">
        <f t="shared" si="1"/>
        <v>I</v>
      </c>
      <c r="C30" s="7">
        <f t="shared" si="2"/>
        <v>37348.404999999999</v>
      </c>
      <c r="D30" s="9" t="str">
        <f t="shared" si="3"/>
        <v>vis</v>
      </c>
      <c r="E30" s="48">
        <f>VLOOKUP(C30,Active!C$21:E$973,3,FALSE)</f>
        <v>-7365.3910618681639</v>
      </c>
      <c r="F30" s="2" t="s">
        <v>47</v>
      </c>
      <c r="G30" s="9" t="str">
        <f t="shared" si="4"/>
        <v>37348.405</v>
      </c>
      <c r="H30" s="7">
        <f t="shared" si="5"/>
        <v>6783</v>
      </c>
      <c r="I30" s="49" t="s">
        <v>113</v>
      </c>
      <c r="J30" s="50" t="s">
        <v>114</v>
      </c>
      <c r="K30" s="49">
        <v>6783</v>
      </c>
      <c r="L30" s="49" t="s">
        <v>115</v>
      </c>
      <c r="M30" s="50" t="s">
        <v>52</v>
      </c>
      <c r="N30" s="50"/>
      <c r="O30" s="51" t="s">
        <v>75</v>
      </c>
      <c r="P30" s="51" t="s">
        <v>76</v>
      </c>
    </row>
    <row r="31" spans="1:16" ht="12.75" customHeight="1" thickBot="1" x14ac:dyDescent="0.25">
      <c r="A31" s="7" t="str">
        <f t="shared" si="0"/>
        <v> MVS 672 </v>
      </c>
      <c r="B31" s="2" t="str">
        <f t="shared" si="1"/>
        <v>I</v>
      </c>
      <c r="C31" s="7">
        <f t="shared" si="2"/>
        <v>37375.309000000001</v>
      </c>
      <c r="D31" s="9" t="str">
        <f t="shared" si="3"/>
        <v>vis</v>
      </c>
      <c r="E31" s="48">
        <f>VLOOKUP(C31,Active!C$21:E$973,3,FALSE)</f>
        <v>-7354.9377598767742</v>
      </c>
      <c r="F31" s="2" t="s">
        <v>47</v>
      </c>
      <c r="G31" s="9" t="str">
        <f t="shared" si="4"/>
        <v>37375.309</v>
      </c>
      <c r="H31" s="7">
        <f t="shared" si="5"/>
        <v>6807</v>
      </c>
      <c r="I31" s="49" t="s">
        <v>116</v>
      </c>
      <c r="J31" s="50" t="s">
        <v>117</v>
      </c>
      <c r="K31" s="49">
        <v>6807</v>
      </c>
      <c r="L31" s="49" t="s">
        <v>118</v>
      </c>
      <c r="M31" s="50" t="s">
        <v>52</v>
      </c>
      <c r="N31" s="50"/>
      <c r="O31" s="51" t="s">
        <v>75</v>
      </c>
      <c r="P31" s="51" t="s">
        <v>76</v>
      </c>
    </row>
    <row r="32" spans="1:16" ht="12.75" customHeight="1" thickBot="1" x14ac:dyDescent="0.25">
      <c r="A32" s="7" t="str">
        <f t="shared" si="0"/>
        <v> MVS 672 </v>
      </c>
      <c r="B32" s="2" t="str">
        <f t="shared" si="1"/>
        <v>I</v>
      </c>
      <c r="C32" s="7">
        <f t="shared" si="2"/>
        <v>37378.633000000002</v>
      </c>
      <c r="D32" s="9" t="str">
        <f t="shared" si="3"/>
        <v>vis</v>
      </c>
      <c r="E32" s="48">
        <f>VLOOKUP(C32,Active!C$21:E$973,3,FALSE)</f>
        <v>-7353.6462502194972</v>
      </c>
      <c r="F32" s="2" t="s">
        <v>47</v>
      </c>
      <c r="G32" s="9" t="str">
        <f t="shared" si="4"/>
        <v>37378.633</v>
      </c>
      <c r="H32" s="7">
        <f t="shared" si="5"/>
        <v>6810</v>
      </c>
      <c r="I32" s="49" t="s">
        <v>119</v>
      </c>
      <c r="J32" s="50" t="s">
        <v>120</v>
      </c>
      <c r="K32" s="49">
        <v>6810</v>
      </c>
      <c r="L32" s="49" t="s">
        <v>121</v>
      </c>
      <c r="M32" s="50" t="s">
        <v>52</v>
      </c>
      <c r="N32" s="50"/>
      <c r="O32" s="51" t="s">
        <v>75</v>
      </c>
      <c r="P32" s="51" t="s">
        <v>76</v>
      </c>
    </row>
    <row r="33" spans="1:16" ht="12.75" customHeight="1" thickBot="1" x14ac:dyDescent="0.25">
      <c r="A33" s="7" t="str">
        <f t="shared" si="0"/>
        <v>VSB 48 </v>
      </c>
      <c r="B33" s="2" t="str">
        <f t="shared" si="1"/>
        <v>II</v>
      </c>
      <c r="C33" s="7">
        <f t="shared" si="2"/>
        <v>54820.134100000003</v>
      </c>
      <c r="D33" s="9" t="str">
        <f t="shared" si="3"/>
        <v>vis</v>
      </c>
      <c r="E33" s="48">
        <f>VLOOKUP(C33,Active!C$21:E$973,3,FALSE)</f>
        <v>-576.91125983028326</v>
      </c>
      <c r="F33" s="2" t="s">
        <v>47</v>
      </c>
      <c r="G33" s="9" t="str">
        <f t="shared" si="4"/>
        <v>54820.1341</v>
      </c>
      <c r="H33" s="7">
        <f t="shared" si="5"/>
        <v>22331.5</v>
      </c>
      <c r="I33" s="49" t="s">
        <v>122</v>
      </c>
      <c r="J33" s="50" t="s">
        <v>123</v>
      </c>
      <c r="K33" s="49">
        <v>22331.5</v>
      </c>
      <c r="L33" s="49" t="s">
        <v>124</v>
      </c>
      <c r="M33" s="50" t="s">
        <v>125</v>
      </c>
      <c r="N33" s="50" t="s">
        <v>47</v>
      </c>
      <c r="O33" s="51" t="s">
        <v>126</v>
      </c>
      <c r="P33" s="52" t="s">
        <v>127</v>
      </c>
    </row>
    <row r="34" spans="1:16" ht="12.75" customHeight="1" thickBot="1" x14ac:dyDescent="0.25">
      <c r="A34" s="7" t="str">
        <f t="shared" si="0"/>
        <v>VSB 56 </v>
      </c>
      <c r="B34" s="2" t="str">
        <f t="shared" si="1"/>
        <v>I</v>
      </c>
      <c r="C34" s="7">
        <f t="shared" si="2"/>
        <v>56305.1711</v>
      </c>
      <c r="D34" s="9" t="str">
        <f t="shared" si="3"/>
        <v>vis</v>
      </c>
      <c r="E34" s="48">
        <f>VLOOKUP(C34,Active!C$21:E$973,3,FALSE)</f>
        <v>8.622119057927724E-2</v>
      </c>
      <c r="F34" s="2" t="s">
        <v>47</v>
      </c>
      <c r="G34" s="9" t="str">
        <f t="shared" si="4"/>
        <v>56305.1711</v>
      </c>
      <c r="H34" s="7">
        <f t="shared" si="5"/>
        <v>23653</v>
      </c>
      <c r="I34" s="49" t="s">
        <v>128</v>
      </c>
      <c r="J34" s="50" t="s">
        <v>129</v>
      </c>
      <c r="K34" s="49">
        <v>23653</v>
      </c>
      <c r="L34" s="49" t="s">
        <v>130</v>
      </c>
      <c r="M34" s="50" t="s">
        <v>125</v>
      </c>
      <c r="N34" s="50" t="s">
        <v>47</v>
      </c>
      <c r="O34" s="51" t="s">
        <v>126</v>
      </c>
      <c r="P34" s="52" t="s">
        <v>131</v>
      </c>
    </row>
    <row r="35" spans="1:16" x14ac:dyDescent="0.2">
      <c r="B35" s="2"/>
      <c r="E35" s="48"/>
      <c r="F35" s="2"/>
    </row>
    <row r="36" spans="1:16" x14ac:dyDescent="0.2">
      <c r="B36" s="2"/>
      <c r="E36" s="48"/>
      <c r="F36" s="2"/>
    </row>
    <row r="37" spans="1:16" x14ac:dyDescent="0.2">
      <c r="B37" s="2"/>
      <c r="E37" s="48"/>
      <c r="F37" s="2"/>
    </row>
    <row r="38" spans="1:16" x14ac:dyDescent="0.2">
      <c r="B38" s="2"/>
      <c r="E38" s="48"/>
      <c r="F38" s="2"/>
    </row>
    <row r="39" spans="1:16" x14ac:dyDescent="0.2">
      <c r="B39" s="2"/>
      <c r="E39" s="48"/>
      <c r="F39" s="2"/>
    </row>
    <row r="40" spans="1:16" x14ac:dyDescent="0.2">
      <c r="B40" s="2"/>
      <c r="E40" s="48"/>
      <c r="F40" s="2"/>
    </row>
    <row r="41" spans="1:16" x14ac:dyDescent="0.2">
      <c r="B41" s="2"/>
      <c r="E41" s="48"/>
      <c r="F41" s="2"/>
    </row>
    <row r="42" spans="1:16" x14ac:dyDescent="0.2">
      <c r="B42" s="2"/>
      <c r="E42" s="48"/>
      <c r="F42" s="2"/>
    </row>
    <row r="43" spans="1:16" x14ac:dyDescent="0.2">
      <c r="B43" s="2"/>
      <c r="E43" s="48"/>
      <c r="F43" s="2"/>
    </row>
    <row r="44" spans="1:16" x14ac:dyDescent="0.2">
      <c r="B44" s="2"/>
      <c r="E44" s="48"/>
      <c r="F44" s="2"/>
    </row>
    <row r="45" spans="1:16" x14ac:dyDescent="0.2">
      <c r="B45" s="2"/>
      <c r="E45" s="48"/>
      <c r="F45" s="2"/>
    </row>
    <row r="46" spans="1:16" x14ac:dyDescent="0.2">
      <c r="B46" s="2"/>
      <c r="E46" s="48"/>
      <c r="F46" s="2"/>
    </row>
    <row r="47" spans="1:16" x14ac:dyDescent="0.2">
      <c r="B47" s="2"/>
      <c r="E47" s="48"/>
      <c r="F47" s="2"/>
    </row>
    <row r="48" spans="1:16" x14ac:dyDescent="0.2">
      <c r="B48" s="2"/>
      <c r="E48" s="48"/>
      <c r="F48" s="2"/>
    </row>
    <row r="49" spans="2:6" x14ac:dyDescent="0.2">
      <c r="B49" s="2"/>
      <c r="E49" s="48"/>
      <c r="F49" s="2"/>
    </row>
    <row r="50" spans="2:6" x14ac:dyDescent="0.2">
      <c r="B50" s="2"/>
      <c r="E50" s="48"/>
      <c r="F50" s="2"/>
    </row>
    <row r="51" spans="2:6" x14ac:dyDescent="0.2">
      <c r="B51" s="2"/>
      <c r="E51" s="48"/>
      <c r="F51" s="2"/>
    </row>
    <row r="52" spans="2:6" x14ac:dyDescent="0.2">
      <c r="B52" s="2"/>
      <c r="E52" s="48"/>
      <c r="F52" s="2"/>
    </row>
    <row r="53" spans="2:6" x14ac:dyDescent="0.2">
      <c r="B53" s="2"/>
      <c r="E53" s="48"/>
      <c r="F53" s="2"/>
    </row>
    <row r="54" spans="2:6" x14ac:dyDescent="0.2">
      <c r="B54" s="2"/>
      <c r="E54" s="48"/>
      <c r="F54" s="2"/>
    </row>
    <row r="55" spans="2:6" x14ac:dyDescent="0.2">
      <c r="B55" s="2"/>
      <c r="E55" s="48"/>
      <c r="F55" s="2"/>
    </row>
    <row r="56" spans="2:6" x14ac:dyDescent="0.2">
      <c r="B56" s="2"/>
      <c r="E56" s="48"/>
      <c r="F56" s="2"/>
    </row>
    <row r="57" spans="2:6" x14ac:dyDescent="0.2">
      <c r="B57" s="2"/>
      <c r="E57" s="48"/>
      <c r="F57" s="2"/>
    </row>
    <row r="58" spans="2:6" x14ac:dyDescent="0.2">
      <c r="B58" s="2"/>
      <c r="E58" s="48"/>
      <c r="F58" s="2"/>
    </row>
    <row r="59" spans="2:6" x14ac:dyDescent="0.2">
      <c r="B59" s="2"/>
      <c r="E59" s="48"/>
      <c r="F59" s="2"/>
    </row>
    <row r="60" spans="2:6" x14ac:dyDescent="0.2">
      <c r="B60" s="2"/>
      <c r="E60" s="48"/>
      <c r="F60" s="2"/>
    </row>
    <row r="61" spans="2:6" x14ac:dyDescent="0.2">
      <c r="B61" s="2"/>
      <c r="E61" s="48"/>
      <c r="F61" s="2"/>
    </row>
    <row r="62" spans="2:6" x14ac:dyDescent="0.2">
      <c r="B62" s="2"/>
      <c r="E62" s="48"/>
      <c r="F62" s="2"/>
    </row>
    <row r="63" spans="2:6" x14ac:dyDescent="0.2">
      <c r="B63" s="2"/>
      <c r="E63" s="48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</sheetData>
  <phoneticPr fontId="7" type="noConversion"/>
  <hyperlinks>
    <hyperlink ref="A3" r:id="rId1" xr:uid="{00000000-0004-0000-0100-000000000000}"/>
    <hyperlink ref="P33" r:id="rId2" display="http://vsolj.cetus-net.org/no48.pdf" xr:uid="{00000000-0004-0000-0100-000001000000}"/>
    <hyperlink ref="P34" r:id="rId3" display="http://vsolj.cetus-net.org/vsoljno56.pdf" xr:uid="{00000000-0004-0000-0100-00000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2023-08-06T08:00:27Z</dcterms:modified>
</cp:coreProperties>
</file>