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2C766BB-3820-497B-B135-A046D604B213}" xr6:coauthVersionLast="47" xr6:coauthVersionMax="47" xr10:uidLastSave="{00000000-0000-0000-0000-000000000000}"/>
  <bookViews>
    <workbookView xWindow="14070" yWindow="330" windowWidth="1359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2" i="1" l="1"/>
  <c r="F72" i="1" s="1"/>
  <c r="G72" i="1" s="1"/>
  <c r="K72" i="1" s="1"/>
  <c r="Q72" i="1"/>
  <c r="Q71" i="1"/>
  <c r="D9" i="1"/>
  <c r="C9" i="1"/>
  <c r="Q70" i="1"/>
  <c r="Q56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2" i="2"/>
  <c r="C22" i="2"/>
  <c r="E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E15" i="2"/>
  <c r="G14" i="2"/>
  <c r="C14" i="2"/>
  <c r="E14" i="2"/>
  <c r="G13" i="2"/>
  <c r="C13" i="2"/>
  <c r="E13" i="2"/>
  <c r="G12" i="2"/>
  <c r="C12" i="2"/>
  <c r="G11" i="2"/>
  <c r="C11" i="2"/>
  <c r="E11" i="2"/>
  <c r="G57" i="2"/>
  <c r="C57" i="2"/>
  <c r="G56" i="2"/>
  <c r="C56" i="2"/>
  <c r="E56" i="2"/>
  <c r="G55" i="2"/>
  <c r="C55" i="2"/>
  <c r="G54" i="2"/>
  <c r="C54" i="2"/>
  <c r="E54" i="2"/>
  <c r="G53" i="2"/>
  <c r="C53" i="2"/>
  <c r="E53" i="2"/>
  <c r="G52" i="2"/>
  <c r="C52" i="2"/>
  <c r="E52" i="2"/>
  <c r="G51" i="2"/>
  <c r="C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G45" i="2"/>
  <c r="C45" i="2"/>
  <c r="E45" i="2"/>
  <c r="G44" i="2"/>
  <c r="C44" i="2"/>
  <c r="E44" i="2"/>
  <c r="G43" i="2"/>
  <c r="C43" i="2"/>
  <c r="G42" i="2"/>
  <c r="C42" i="2"/>
  <c r="G41" i="2"/>
  <c r="C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E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E29" i="2"/>
  <c r="G28" i="2"/>
  <c r="C28" i="2"/>
  <c r="E28" i="2"/>
  <c r="G27" i="2"/>
  <c r="C27" i="2"/>
  <c r="G26" i="2"/>
  <c r="C26" i="2"/>
  <c r="E26" i="2"/>
  <c r="G25" i="2"/>
  <c r="C25" i="2"/>
  <c r="G24" i="2"/>
  <c r="C24" i="2"/>
  <c r="G23" i="2"/>
  <c r="C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F17" i="1"/>
  <c r="C17" i="1"/>
  <c r="Q69" i="1"/>
  <c r="Q57" i="1"/>
  <c r="Q58" i="1"/>
  <c r="Q59" i="1"/>
  <c r="Q60" i="1"/>
  <c r="Q61" i="1"/>
  <c r="Q62" i="1"/>
  <c r="Q63" i="1"/>
  <c r="Q64" i="1"/>
  <c r="Q65" i="1"/>
  <c r="Q66" i="1"/>
  <c r="Q67" i="1"/>
  <c r="Q68" i="1"/>
  <c r="C8" i="1"/>
  <c r="C7" i="1"/>
  <c r="E71" i="1"/>
  <c r="F71" i="1"/>
  <c r="E70" i="1"/>
  <c r="F70" i="1"/>
  <c r="G70" i="1"/>
  <c r="K70" i="1"/>
  <c r="Q55" i="1"/>
  <c r="E27" i="2"/>
  <c r="E48" i="1"/>
  <c r="F48" i="1"/>
  <c r="G48" i="1"/>
  <c r="H48" i="1"/>
  <c r="E32" i="1"/>
  <c r="F32" i="1"/>
  <c r="G32" i="1"/>
  <c r="H32" i="1"/>
  <c r="E24" i="1"/>
  <c r="F24" i="1"/>
  <c r="E53" i="1"/>
  <c r="F53" i="1"/>
  <c r="G53" i="1"/>
  <c r="H53" i="1"/>
  <c r="E37" i="1"/>
  <c r="F37" i="1"/>
  <c r="G37" i="1"/>
  <c r="H37" i="1"/>
  <c r="E29" i="1"/>
  <c r="F29" i="1"/>
  <c r="E21" i="1"/>
  <c r="E23" i="2"/>
  <c r="F21" i="1"/>
  <c r="G21" i="1"/>
  <c r="H21" i="1"/>
  <c r="E62" i="1"/>
  <c r="F62" i="1"/>
  <c r="G62" i="1"/>
  <c r="I62" i="1"/>
  <c r="E55" i="1"/>
  <c r="F55" i="1"/>
  <c r="E50" i="1"/>
  <c r="F50" i="1"/>
  <c r="G50" i="1"/>
  <c r="H50" i="1"/>
  <c r="E63" i="1"/>
  <c r="F63" i="1"/>
  <c r="E61" i="1"/>
  <c r="F61" i="1"/>
  <c r="G61" i="1"/>
  <c r="I61" i="1"/>
  <c r="E47" i="1"/>
  <c r="F47" i="1"/>
  <c r="G47" i="1"/>
  <c r="H47" i="1"/>
  <c r="E31" i="1"/>
  <c r="F31" i="1"/>
  <c r="G31" i="1"/>
  <c r="H31" i="1"/>
  <c r="E42" i="1"/>
  <c r="F42" i="1"/>
  <c r="G42" i="1"/>
  <c r="H42" i="1"/>
  <c r="E69" i="1"/>
  <c r="F69" i="1"/>
  <c r="E60" i="1"/>
  <c r="F60" i="1"/>
  <c r="E52" i="1"/>
  <c r="F52" i="1"/>
  <c r="G52" i="1"/>
  <c r="H52" i="1"/>
  <c r="E36" i="1"/>
  <c r="F36" i="1"/>
  <c r="G36" i="1"/>
  <c r="H36" i="1"/>
  <c r="E28" i="1"/>
  <c r="F28" i="1"/>
  <c r="E34" i="1"/>
  <c r="F34" i="1"/>
  <c r="G34" i="1"/>
  <c r="H34" i="1"/>
  <c r="E59" i="1"/>
  <c r="F59" i="1"/>
  <c r="G59" i="1"/>
  <c r="I59" i="1"/>
  <c r="E49" i="1"/>
  <c r="F49" i="1"/>
  <c r="E41" i="1"/>
  <c r="E43" i="2"/>
  <c r="F41" i="1"/>
  <c r="G41" i="1"/>
  <c r="H41" i="1"/>
  <c r="E25" i="1"/>
  <c r="F25" i="1"/>
  <c r="G25" i="1"/>
  <c r="H25" i="1"/>
  <c r="E58" i="1"/>
  <c r="F58" i="1"/>
  <c r="G58" i="1"/>
  <c r="I58" i="1"/>
  <c r="E54" i="1"/>
  <c r="E46" i="1"/>
  <c r="F46" i="1"/>
  <c r="G46" i="1"/>
  <c r="H46" i="1"/>
  <c r="E38" i="1"/>
  <c r="F38" i="1"/>
  <c r="G38" i="1"/>
  <c r="H38" i="1"/>
  <c r="E30" i="1"/>
  <c r="G24" i="1"/>
  <c r="H24" i="1"/>
  <c r="E26" i="1"/>
  <c r="F26" i="1"/>
  <c r="G26" i="1"/>
  <c r="H26" i="1"/>
  <c r="E66" i="1"/>
  <c r="F66" i="1"/>
  <c r="G66" i="1"/>
  <c r="I66" i="1"/>
  <c r="E57" i="1"/>
  <c r="F57" i="1"/>
  <c r="G57" i="1"/>
  <c r="I57" i="1"/>
  <c r="E51" i="1"/>
  <c r="F51" i="1"/>
  <c r="G51" i="1"/>
  <c r="H51" i="1"/>
  <c r="E43" i="1"/>
  <c r="F43" i="1"/>
  <c r="G43" i="1"/>
  <c r="H43" i="1"/>
  <c r="E35" i="1"/>
  <c r="F35" i="1"/>
  <c r="G35" i="1"/>
  <c r="H35" i="1"/>
  <c r="E27" i="1"/>
  <c r="F27" i="1"/>
  <c r="G27" i="1"/>
  <c r="H27" i="1"/>
  <c r="E51" i="2"/>
  <c r="E55" i="2"/>
  <c r="E31" i="2"/>
  <c r="F30" i="1"/>
  <c r="G30" i="1"/>
  <c r="H30" i="1"/>
  <c r="E16" i="2"/>
  <c r="F54" i="1"/>
  <c r="G54" i="1"/>
  <c r="H54" i="1"/>
  <c r="E12" i="2"/>
  <c r="E39" i="2"/>
  <c r="E24" i="2"/>
  <c r="E42" i="2"/>
  <c r="E21" i="2"/>
  <c r="E22" i="1"/>
  <c r="F22" i="1"/>
  <c r="G22" i="1"/>
  <c r="E67" i="1"/>
  <c r="E33" i="1"/>
  <c r="G49" i="1"/>
  <c r="H49" i="1"/>
  <c r="E68" i="1"/>
  <c r="F68" i="1"/>
  <c r="G68" i="1"/>
  <c r="I68" i="1"/>
  <c r="G28" i="1"/>
  <c r="H28" i="1"/>
  <c r="E44" i="1"/>
  <c r="F44" i="1"/>
  <c r="G44" i="1"/>
  <c r="H44" i="1"/>
  <c r="G69" i="1"/>
  <c r="J69" i="1"/>
  <c r="E23" i="1"/>
  <c r="F23" i="1"/>
  <c r="G23" i="1"/>
  <c r="H23" i="1"/>
  <c r="E39" i="1"/>
  <c r="F39" i="1"/>
  <c r="G39" i="1"/>
  <c r="H39" i="1"/>
  <c r="E56" i="1"/>
  <c r="F56" i="1"/>
  <c r="G56" i="1"/>
  <c r="I56" i="1"/>
  <c r="G60" i="1"/>
  <c r="I60" i="1"/>
  <c r="G55" i="1"/>
  <c r="H55" i="1"/>
  <c r="G29" i="1"/>
  <c r="H29" i="1"/>
  <c r="E45" i="1"/>
  <c r="G71" i="1"/>
  <c r="K71" i="1"/>
  <c r="E64" i="1"/>
  <c r="F64" i="1"/>
  <c r="G64" i="1"/>
  <c r="I64" i="1"/>
  <c r="E40" i="1"/>
  <c r="F40" i="1"/>
  <c r="G40" i="1"/>
  <c r="H40" i="1"/>
  <c r="E65" i="1"/>
  <c r="F65" i="1"/>
  <c r="G65" i="1"/>
  <c r="I65" i="1"/>
  <c r="E41" i="2"/>
  <c r="E46" i="2"/>
  <c r="E18" i="2"/>
  <c r="F45" i="1"/>
  <c r="G45" i="1"/>
  <c r="H45" i="1"/>
  <c r="E47" i="2"/>
  <c r="F67" i="1"/>
  <c r="G67" i="1"/>
  <c r="I67" i="1"/>
  <c r="E20" i="2"/>
  <c r="E17" i="2"/>
  <c r="E35" i="2"/>
  <c r="F33" i="1"/>
  <c r="G33" i="1"/>
  <c r="E57" i="2"/>
  <c r="H22" i="1"/>
  <c r="E25" i="2"/>
  <c r="H33" i="1"/>
  <c r="C11" i="1"/>
  <c r="C12" i="1"/>
  <c r="O72" i="1" l="1"/>
  <c r="C16" i="1"/>
  <c r="D18" i="1" s="1"/>
  <c r="O63" i="1"/>
  <c r="O46" i="1"/>
  <c r="O45" i="1"/>
  <c r="O35" i="1"/>
  <c r="O66" i="1"/>
  <c r="O23" i="1"/>
  <c r="O50" i="1"/>
  <c r="O69" i="1"/>
  <c r="O41" i="1"/>
  <c r="O43" i="1"/>
  <c r="O24" i="1"/>
  <c r="O58" i="1"/>
  <c r="O61" i="1"/>
  <c r="O64" i="1"/>
  <c r="O40" i="1"/>
  <c r="O31" i="1"/>
  <c r="O26" i="1"/>
  <c r="O68" i="1"/>
  <c r="O71" i="1"/>
  <c r="O60" i="1"/>
  <c r="O27" i="1"/>
  <c r="O34" i="1"/>
  <c r="O21" i="1"/>
  <c r="O39" i="1"/>
  <c r="O30" i="1"/>
  <c r="O65" i="1"/>
  <c r="O70" i="1"/>
  <c r="O32" i="1"/>
  <c r="C15" i="1"/>
  <c r="F18" i="1" s="1"/>
  <c r="O29" i="1"/>
  <c r="O59" i="1"/>
  <c r="O55" i="1"/>
  <c r="O57" i="1"/>
  <c r="O37" i="1"/>
  <c r="O44" i="1"/>
  <c r="O38" i="1"/>
  <c r="O36" i="1"/>
  <c r="O28" i="1"/>
  <c r="O54" i="1"/>
  <c r="O49" i="1"/>
  <c r="O51" i="1"/>
  <c r="O22" i="1"/>
  <c r="O25" i="1"/>
  <c r="O62" i="1"/>
  <c r="O48" i="1"/>
  <c r="O42" i="1"/>
  <c r="O53" i="1"/>
  <c r="O56" i="1"/>
  <c r="O52" i="1"/>
  <c r="O67" i="1"/>
  <c r="O47" i="1"/>
  <c r="O33" i="1"/>
  <c r="F19" i="1" l="1"/>
  <c r="C18" i="1"/>
</calcChain>
</file>

<file path=xl/sharedStrings.xml><?xml version="1.0" encoding="utf-8"?>
<sst xmlns="http://schemas.openxmlformats.org/spreadsheetml/2006/main" count="512" uniqueCount="243">
  <si>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</si>
  <si>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</si>
  <si>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</si>
  <si>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</si>
  <si>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</si>
  <si>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</si>
  <si>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</si>
  <si>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</si>
  <si>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</si>
  <si>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</si>
  <si>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</si>
  <si>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</si>
  <si>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</si>
  <si>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</si>
  <si>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</si>
  <si>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</si>
  <si>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</si>
  <si>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</si>
  <si>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</si>
  <si>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</si>
  <si>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</si>
  <si>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</si>
  <si>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</si>
  <si>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</si>
  <si>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</si>
  <si>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</si>
  <si>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</si>
  <si>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</si>
  <si>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</si>
  <si>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</si>
  <si>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</t>
  </si>
  <si>
    <t>B</t>
  </si>
  <si>
    <t>v</t>
  </si>
  <si>
    <t>BBSAG Bull.7</t>
  </si>
  <si>
    <t>BBSAG Bull.14</t>
  </si>
  <si>
    <t>BBSAG Bull.20</t>
  </si>
  <si>
    <t>BBSAG Bull.21</t>
  </si>
  <si>
    <t>Peter H</t>
  </si>
  <si>
    <t>BBSAG Bull.37</t>
  </si>
  <si>
    <t>BBSAG Bull.57</t>
  </si>
  <si>
    <t>BBSAG Bull.64</t>
  </si>
  <si>
    <t>BBSAG Bull.94</t>
  </si>
  <si>
    <t>BBSAG Bull.97</t>
  </si>
  <si>
    <t>BBSAG Bull.106</t>
  </si>
  <si>
    <t>bad?</t>
  </si>
  <si>
    <t>DeGreve, 1984Ap&amp;SS..99..313D</t>
  </si>
  <si>
    <t>EA/SD</t>
  </si>
  <si>
    <t># of data points:</t>
  </si>
  <si>
    <t>TU Mon / GSC 04837-00168</t>
  </si>
  <si>
    <t>IBVS 5874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</si>
  <si>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</si>
  <si>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</si>
  <si>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</si>
  <si>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</si>
  <si>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</si>
  <si>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</si>
  <si>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</si>
  <si>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</si>
  <si>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</si>
  <si>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</si>
  <si>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</si>
  <si>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</si>
  <si>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</si>
  <si>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</si>
  <si>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</si>
  <si>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</si>
  <si>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</si>
  <si>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</si>
  <si>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</si>
  <si>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</si>
  <si>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2415886.515 </t>
  </si>
  <si>
    <t> 17.05.1902 00:21 </t>
  </si>
  <si>
    <t> -0.054 </t>
  </si>
  <si>
    <t>P </t>
  </si>
  <si>
    <t> E.Hertzsprung </t>
  </si>
  <si>
    <t> BAN 4.153 </t>
  </si>
  <si>
    <t>2416825.786 </t>
  </si>
  <si>
    <t> 11.12.1904 06:51 </t>
  </si>
  <si>
    <t> 0.097 </t>
  </si>
  <si>
    <t>2417880.911 </t>
  </si>
  <si>
    <t> 01.11.1907 09:51 </t>
  </si>
  <si>
    <t> -0.025 </t>
  </si>
  <si>
    <t>2418688.774 </t>
  </si>
  <si>
    <t> 17.01.1910 06:34 </t>
  </si>
  <si>
    <t> -0.006 </t>
  </si>
  <si>
    <t>2419723.850 </t>
  </si>
  <si>
    <t> 17.11.1912 08:24 </t>
  </si>
  <si>
    <t> 0.019 </t>
  </si>
  <si>
    <t>2419723.892 </t>
  </si>
  <si>
    <t> 17.11.1912 09:24 </t>
  </si>
  <si>
    <t> 0.061 </t>
  </si>
  <si>
    <t>2419804.637 </t>
  </si>
  <si>
    <t> 06.02.1913 03:17 </t>
  </si>
  <si>
    <t> 0.021 </t>
  </si>
  <si>
    <t>2419804.716 </t>
  </si>
  <si>
    <t> 06.02.1913 05:11 </t>
  </si>
  <si>
    <t> 0.100 </t>
  </si>
  <si>
    <t>2420930.608 </t>
  </si>
  <si>
    <t> 08.03.1916 02:35 </t>
  </si>
  <si>
    <t> 0.059 </t>
  </si>
  <si>
    <t>2422293.818 </t>
  </si>
  <si>
    <t> 01.12.1919 07:37 </t>
  </si>
  <si>
    <t> 0.031 </t>
  </si>
  <si>
    <t>2422298.909 </t>
  </si>
  <si>
    <t> 06.12.1919 09:48 </t>
  </si>
  <si>
    <t> 0.073 </t>
  </si>
  <si>
    <t>2424136.705 </t>
  </si>
  <si>
    <t> 17.12.1924 04:55 </t>
  </si>
  <si>
    <t> 0.022 </t>
  </si>
  <si>
    <t>2424146.693 </t>
  </si>
  <si>
    <t> 27.12.1924 04:37 </t>
  </si>
  <si>
    <t> -0.088 </t>
  </si>
  <si>
    <t>2424146.809 </t>
  </si>
  <si>
    <t> 27.12.1924 07:24 </t>
  </si>
  <si>
    <t> 0.028 </t>
  </si>
  <si>
    <t>2424444.666 </t>
  </si>
  <si>
    <t> 21.10.1925 03:59 </t>
  </si>
  <si>
    <t> -0.008 </t>
  </si>
  <si>
    <t>V </t>
  </si>
  <si>
    <t> K.Kordylewski </t>
  </si>
  <si>
    <t> AA 27.154 </t>
  </si>
  <si>
    <t>2424449.722 </t>
  </si>
  <si>
    <t> 26.10.1925 05:19 </t>
  </si>
  <si>
    <t> -0.001 </t>
  </si>
  <si>
    <t>2424469.860 </t>
  </si>
  <si>
    <t> 15.11.1925 08:38 </t>
  </si>
  <si>
    <t> -0.059 </t>
  </si>
  <si>
    <t>2424530.517 </t>
  </si>
  <si>
    <t> 15.01.1926 00:24 </t>
  </si>
  <si>
    <t> 0.010 </t>
  </si>
  <si>
    <t> SAC 5.51 </t>
  </si>
  <si>
    <t>2424601.190 </t>
  </si>
  <si>
    <t> 26.03.1926 16:33 </t>
  </si>
  <si>
    <t>2426767.220 </t>
  </si>
  <si>
    <t> 29.02.1932 17:16 </t>
  </si>
  <si>
    <t> -0.007 </t>
  </si>
  <si>
    <t> J.Mergentaler </t>
  </si>
  <si>
    <t>2427484.188 </t>
  </si>
  <si>
    <t> 15.02.1934 16:30 </t>
  </si>
  <si>
    <t> F.Lause </t>
  </si>
  <si>
    <t> AN 260.291 </t>
  </si>
  <si>
    <t>2427489.223 </t>
  </si>
  <si>
    <t> 20.02.1934 17:21 </t>
  </si>
  <si>
    <t> -0.015 </t>
  </si>
  <si>
    <t>2427883.027 </t>
  </si>
  <si>
    <t> 21.03.1935 12:38 </t>
  </si>
  <si>
    <t> -0.035 </t>
  </si>
  <si>
    <t>2427888.113 </t>
  </si>
  <si>
    <t> 26.03.1935 14:42 </t>
  </si>
  <si>
    <t> 0.002 </t>
  </si>
  <si>
    <t>2428211.246 </t>
  </si>
  <si>
    <t> 12.02.1936 17:54 </t>
  </si>
  <si>
    <t>2428246.606 </t>
  </si>
  <si>
    <t> 19.03.1936 02:32 </t>
  </si>
  <si>
    <t> 0.014 </t>
  </si>
  <si>
    <t>2428251.621 </t>
  </si>
  <si>
    <t> 24.03.1936 02:54 </t>
  </si>
  <si>
    <t> -0.020 </t>
  </si>
  <si>
    <t> S.Gaposchkin </t>
  </si>
  <si>
    <t> HA 113.69 </t>
  </si>
  <si>
    <t>2430468.140 </t>
  </si>
  <si>
    <t> 18.04.1942 15:21 </t>
  </si>
  <si>
    <t> AA 28.513 </t>
  </si>
  <si>
    <t>2430796.322 </t>
  </si>
  <si>
    <t> 12.03.1943 19:43 </t>
  </si>
  <si>
    <t> -0.030 </t>
  </si>
  <si>
    <t>2432255.514 </t>
  </si>
  <si>
    <t> 11.03.1947 00:20 </t>
  </si>
  <si>
    <t> SAC 24.87 </t>
  </si>
  <si>
    <t>2432285.85 </t>
  </si>
  <si>
    <t> 10.04.1947 08:24 </t>
  </si>
  <si>
    <t> 0.03 </t>
  </si>
  <si>
    <t> A.Soloviev </t>
  </si>
  <si>
    <t> AC 68.9 </t>
  </si>
  <si>
    <t>2432346.394 </t>
  </si>
  <si>
    <t> 09.06.1947 21:27 </t>
  </si>
  <si>
    <t> -0.010 </t>
  </si>
  <si>
    <t> PZ 12.262 </t>
  </si>
  <si>
    <t>2433568.31 </t>
  </si>
  <si>
    <t> 13.10.1950 19:26 </t>
  </si>
  <si>
    <t> 0.04 </t>
  </si>
  <si>
    <t> SAC 22.86 </t>
  </si>
  <si>
    <t>2434068.100 </t>
  </si>
  <si>
    <t> 25.02.1952 14:24 </t>
  </si>
  <si>
    <t> -0.023 </t>
  </si>
  <si>
    <t>2439516.038 </t>
  </si>
  <si>
    <t> 25.01.1967 12:54 </t>
  </si>
  <si>
    <t> 0.013 </t>
  </si>
  <si>
    <t>E </t>
  </si>
  <si>
    <t>?</t>
  </si>
  <si>
    <t> M.Kitamura </t>
  </si>
  <si>
    <t> ASS 2.448 </t>
  </si>
  <si>
    <t>2441308.433 </t>
  </si>
  <si>
    <t> 22.12.1971 22:23 </t>
  </si>
  <si>
    <t> K.Locher </t>
  </si>
  <si>
    <t> BBS 1 </t>
  </si>
  <si>
    <t>2441707.312 </t>
  </si>
  <si>
    <t> 24.01.1973 19:29 </t>
  </si>
  <si>
    <t> 0.008 </t>
  </si>
  <si>
    <t> BBS 7 </t>
  </si>
  <si>
    <t>2442116.284 </t>
  </si>
  <si>
    <t> 09.03.1974 18:48 </t>
  </si>
  <si>
    <t> 0.009 </t>
  </si>
  <si>
    <t> BBS 14 </t>
  </si>
  <si>
    <t>2442439.405 </t>
  </si>
  <si>
    <t> 26.01.1975 21:43 </t>
  </si>
  <si>
    <t> BBS 20 </t>
  </si>
  <si>
    <t>2442449.440 </t>
  </si>
  <si>
    <t> 05.02.1975 22:33 </t>
  </si>
  <si>
    <t> -0.071 </t>
  </si>
  <si>
    <t> BBS 21 </t>
  </si>
  <si>
    <t>2443575.379 </t>
  </si>
  <si>
    <t> 07.03.1978 21:05 </t>
  </si>
  <si>
    <t> -0.066 </t>
  </si>
  <si>
    <t> H.Peter </t>
  </si>
  <si>
    <t> BBS 37 </t>
  </si>
  <si>
    <t>2445347.563 </t>
  </si>
  <si>
    <t> 13.01.1983 01:30 </t>
  </si>
  <si>
    <t> -0.091 </t>
  </si>
  <si>
    <t> BBS 64 </t>
  </si>
  <si>
    <t>2445352.659 </t>
  </si>
  <si>
    <t> 18.01.1983 03:48 </t>
  </si>
  <si>
    <t> -0.044 </t>
  </si>
  <si>
    <t>2447912.473 </t>
  </si>
  <si>
    <t> 20.01.1990 23:21 </t>
  </si>
  <si>
    <t> BBS 94 </t>
  </si>
  <si>
    <t>2448311.387 </t>
  </si>
  <si>
    <t> 23.02.1991 21:17 </t>
  </si>
  <si>
    <t> -0.047 </t>
  </si>
  <si>
    <t> BBS 97 </t>
  </si>
  <si>
    <t>2449442.337 </t>
  </si>
  <si>
    <t> 30.03.1994 20:05 </t>
  </si>
  <si>
    <t> -0.080 </t>
  </si>
  <si>
    <t> BBS 106 </t>
  </si>
  <si>
    <t>2454506.5200 </t>
  </si>
  <si>
    <t> 10.02.2008 00:28 </t>
  </si>
  <si>
    <t> -0.0728 </t>
  </si>
  <si>
    <t>C </t>
  </si>
  <si>
    <t> P.Frank </t>
  </si>
  <si>
    <t>BAVM 201 </t>
  </si>
  <si>
    <t>BAD?</t>
  </si>
  <si>
    <t>JAVSO..48..256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</si>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</sst>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2" fillId="0" borderId="0"/>
    <xf numFmtId="0" fontId="12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3" fillId="0" borderId="0" xfId="43" applyFont="1" applyAlignment="1">
      <alignment horizontal="left"/>
    </xf>
    <xf numFmtId="0" fontId="13" fillId="0" borderId="0" xfId="43" applyFont="1" applyAlignment="1">
      <alignment horizontal="center" wrapText="1"/>
    </xf>
    <xf numFmtId="0" fontId="13" fillId="0" borderId="0" xfId="43" applyFont="1" applyAlignment="1">
      <alignment horizontal="left" wrapText="1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/>
    </xf>
    <xf numFmtId="43" fontId="37" fillId="0" borderId="0" xfId="49" applyFont="1" applyBorder="1"/>
    <xf numFmtId="165" fontId="37" fillId="0" borderId="0" xfId="0" applyNumberFormat="1" applyFont="1" applyAlignment="1" applyProtection="1">
      <alignment vertical="center" wrapText="1"/>
      <protection locked="0"/>
    </xf>
    <xf numFmtId="0" fontId="37" fillId="0" borderId="0" xfId="0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Mon - O-C Diagr.</a:t>
            </a:r>
          </a:p>
        </c:rich>
      </c:tx>
      <c:layout>
        <c:manualLayout>
          <c:xMode val="edge"/>
          <c:yMode val="edge"/>
          <c:x val="0.373376964243105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9361072380619"/>
          <c:y val="0.14723926380368099"/>
          <c:w val="0.81980584463607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  <c:pt idx="51">
                  <c:v>5129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-5.4210899997997331E-2</c:v>
                </c:pt>
                <c:pt idx="1">
                  <c:v>9.7376500001701061E-2</c:v>
                </c:pt>
                <c:pt idx="2">
                  <c:v>-2.470539999922039E-2</c:v>
                </c:pt>
                <c:pt idx="3">
                  <c:v>-6.3613999991503078E-3</c:v>
                </c:pt>
                <c:pt idx="4">
                  <c:v>1.8673099999432452E-2</c:v>
                </c:pt>
                <c:pt idx="5">
                  <c:v>6.0673100000713021E-2</c:v>
                </c:pt>
                <c:pt idx="6">
                  <c:v>2.1207499998126877E-2</c:v>
                </c:pt>
                <c:pt idx="7">
                  <c:v>0.10020749999966938</c:v>
                </c:pt>
                <c:pt idx="8">
                  <c:v>5.871820000174921E-2</c:v>
                </c:pt>
                <c:pt idx="9">
                  <c:v>3.0861200000799727E-2</c:v>
                </c:pt>
                <c:pt idx="10">
                  <c:v>7.2832099998777267E-2</c:v>
                </c:pt>
                <c:pt idx="11">
                  <c:v>2.223970000341069E-2</c:v>
                </c:pt>
                <c:pt idx="12">
                  <c:v>-8.7818500000139466E-2</c:v>
                </c:pt>
                <c:pt idx="13">
                  <c:v>2.8181500001664972E-2</c:v>
                </c:pt>
                <c:pt idx="14">
                  <c:v>-7.5353999964136165E-3</c:v>
                </c:pt>
                <c:pt idx="15">
                  <c:v>-5.6449999829055741E-4</c:v>
                </c:pt>
                <c:pt idx="16">
                  <c:v>-5.8680899997852976E-2</c:v>
                </c:pt>
                <c:pt idx="17">
                  <c:v>9.9698999983957037E-3</c:v>
                </c:pt>
                <c:pt idx="18">
                  <c:v>-3.4374999995634425E-3</c:v>
                </c:pt>
                <c:pt idx="19">
                  <c:v>-6.9213999959174544E-3</c:v>
                </c:pt>
                <c:pt idx="20">
                  <c:v>-1.0536000008869451E-3</c:v>
                </c:pt>
                <c:pt idx="21">
                  <c:v>-1.5082699996128213E-2</c:v>
                </c:pt>
                <c:pt idx="22">
                  <c:v>-3.5352499999135034E-2</c:v>
                </c:pt>
                <c:pt idx="23">
                  <c:v>1.6184000014618505E-3</c:v>
                </c:pt>
                <c:pt idx="24">
                  <c:v>-3.2439999995403923E-3</c:v>
                </c:pt>
                <c:pt idx="25">
                  <c:v>1.3552299998991657E-2</c:v>
                </c:pt>
                <c:pt idx="26">
                  <c:v>-2.0476800000324147E-2</c:v>
                </c:pt>
                <c:pt idx="27">
                  <c:v>-2.5251700000808341E-2</c:v>
                </c:pt>
                <c:pt idx="28">
                  <c:v>-3.0143199997837655E-2</c:v>
                </c:pt>
                <c:pt idx="29">
                  <c:v>-7.5531000002229121E-3</c:v>
                </c:pt>
                <c:pt idx="30">
                  <c:v>3.4272299999429379E-2</c:v>
                </c:pt>
                <c:pt idx="31">
                  <c:v>-1.0076899998239242E-2</c:v>
                </c:pt>
                <c:pt idx="32">
                  <c:v>4.0880900000047404E-2</c:v>
                </c:pt>
                <c:pt idx="33">
                  <c:v>-2.3000000001047738E-2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EF-4F66-947E-693BE9FF4C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  <c:pt idx="51">
                    <c:v>6.0000000000000001E-3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  <c:pt idx="5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  <c:pt idx="51">
                  <c:v>5129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5">
                  <c:v>1.2601100002939347E-2</c:v>
                </c:pt>
                <c:pt idx="36">
                  <c:v>2.2705999945173971E-3</c:v>
                </c:pt>
                <c:pt idx="37">
                  <c:v>7.9716999971424229E-3</c:v>
                </c:pt>
                <c:pt idx="38">
                  <c:v>8.6145999957807362E-3</c:v>
                </c:pt>
                <c:pt idx="39">
                  <c:v>-8.2477999967522919E-3</c:v>
                </c:pt>
                <c:pt idx="40">
                  <c:v>-7.1305999998003244E-2</c:v>
                </c:pt>
                <c:pt idx="41">
                  <c:v>-6.5795299997262191E-2</c:v>
                </c:pt>
                <c:pt idx="43">
                  <c:v>-9.1009399999165908E-2</c:v>
                </c:pt>
                <c:pt idx="44">
                  <c:v>-4.4038499996531755E-2</c:v>
                </c:pt>
                <c:pt idx="45">
                  <c:v>-8.7792199999967124E-2</c:v>
                </c:pt>
                <c:pt idx="46">
                  <c:v>-4.7091100001125596E-2</c:v>
                </c:pt>
                <c:pt idx="47">
                  <c:v>-7.9609499996877275E-2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EF-4F66-947E-693BE9FF4C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  <c:pt idx="51">
                  <c:v>5129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8">
                  <c:v>-7.279680000647204E-2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EF-4F66-947E-693BE9FF4C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  <c:pt idx="51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  <c:pt idx="5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  <c:pt idx="51">
                  <c:v>5129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9">
                  <c:v>-7.3470000002998859E-2</c:v>
                </c:pt>
                <c:pt idx="50">
                  <c:v>-7.3833899994497187E-2</c:v>
                </c:pt>
                <c:pt idx="51">
                  <c:v>-6.1253899883013219E-2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EF-4F66-947E-693BE9FF4C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  <c:pt idx="51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  <c:pt idx="5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  <c:pt idx="51">
                  <c:v>5129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EF-4F66-947E-693BE9FF4C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  <c:pt idx="51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  <c:pt idx="5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  <c:pt idx="51">
                  <c:v>5129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EF-4F66-947E-693BE9FF4C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  <c:pt idx="51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4">
                    <c:v>0</c:v>
                  </c:pt>
                  <c:pt idx="42">
                    <c:v>0</c:v>
                  </c:pt>
                  <c:pt idx="46">
                    <c:v>0.01</c:v>
                  </c:pt>
                  <c:pt idx="48">
                    <c:v>5.0000000000000001E-4</c:v>
                  </c:pt>
                  <c:pt idx="49">
                    <c:v>2.2000000000000001E-3</c:v>
                  </c:pt>
                  <c:pt idx="50">
                    <c:v>1.1000000000000001E-3</c:v>
                  </c:pt>
                  <c:pt idx="51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  <c:pt idx="51">
                  <c:v>5129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EF-4F66-947E-693BE9FF4C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  <c:pt idx="51">
                  <c:v>5129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2.9118389513688208E-2</c:v>
                </c:pt>
                <c:pt idx="1">
                  <c:v>2.6841310194568323E-2</c:v>
                </c:pt>
                <c:pt idx="2">
                  <c:v>2.4282656551041139E-2</c:v>
                </c:pt>
                <c:pt idx="3">
                  <c:v>2.232387864212081E-2</c:v>
                </c:pt>
                <c:pt idx="4">
                  <c:v>1.981419444631664E-2</c:v>
                </c:pt>
                <c:pt idx="5">
                  <c:v>1.981419444631664E-2</c:v>
                </c:pt>
                <c:pt idx="6">
                  <c:v>1.9618316655424611E-2</c:v>
                </c:pt>
                <c:pt idx="7">
                  <c:v>1.9618316655424611E-2</c:v>
                </c:pt>
                <c:pt idx="8">
                  <c:v>1.6888269944866901E-2</c:v>
                </c:pt>
                <c:pt idx="9">
                  <c:v>1.3582832223563844E-2</c:v>
                </c:pt>
                <c:pt idx="10">
                  <c:v>1.3570589861633092E-2</c:v>
                </c:pt>
                <c:pt idx="11">
                  <c:v>9.1143701188393413E-3</c:v>
                </c:pt>
                <c:pt idx="12">
                  <c:v>9.0898853949778376E-3</c:v>
                </c:pt>
                <c:pt idx="13">
                  <c:v>9.0898853949778376E-3</c:v>
                </c:pt>
                <c:pt idx="14">
                  <c:v>8.3675860410634649E-3</c:v>
                </c:pt>
                <c:pt idx="15">
                  <c:v>8.3553436791327131E-3</c:v>
                </c:pt>
                <c:pt idx="16">
                  <c:v>8.3063742314097057E-3</c:v>
                </c:pt>
                <c:pt idx="17">
                  <c:v>8.1594658882406801E-3</c:v>
                </c:pt>
                <c:pt idx="18">
                  <c:v>7.9880728212101508E-3</c:v>
                </c:pt>
                <c:pt idx="19">
                  <c:v>2.7360995529175196E-3</c:v>
                </c:pt>
                <c:pt idx="20">
                  <c:v>9.9768415875072652E-4</c:v>
                </c:pt>
                <c:pt idx="21">
                  <c:v>9.8544179681997468E-4</c:v>
                </c:pt>
                <c:pt idx="22">
                  <c:v>3.0537566221313511E-5</c:v>
                </c:pt>
                <c:pt idx="23">
                  <c:v>1.8295204290561667E-5</c:v>
                </c:pt>
                <c:pt idx="24">
                  <c:v>-7.6521595927757022E-4</c:v>
                </c:pt>
                <c:pt idx="25">
                  <c:v>-8.5091249279283486E-4</c:v>
                </c:pt>
                <c:pt idx="26">
                  <c:v>-8.631548547235867E-4</c:v>
                </c:pt>
                <c:pt idx="27">
                  <c:v>-6.2375517423237416E-3</c:v>
                </c:pt>
                <c:pt idx="28">
                  <c:v>-7.0333052678226253E-3</c:v>
                </c:pt>
                <c:pt idx="29">
                  <c:v>-1.0571347865809971E-2</c:v>
                </c:pt>
                <c:pt idx="30">
                  <c:v>-1.0644802037394482E-2</c:v>
                </c:pt>
                <c:pt idx="31">
                  <c:v>-1.0791710380563507E-2</c:v>
                </c:pt>
                <c:pt idx="32">
                  <c:v>-1.3754361967805506E-2</c:v>
                </c:pt>
                <c:pt idx="33">
                  <c:v>-1.4966355798949959E-2</c:v>
                </c:pt>
                <c:pt idx="34">
                  <c:v>-1.4966355798949959E-2</c:v>
                </c:pt>
                <c:pt idx="35">
                  <c:v>-2.8175864322231431E-2</c:v>
                </c:pt>
                <c:pt idx="36">
                  <c:v>-3.2521902807648412E-2</c:v>
                </c:pt>
                <c:pt idx="37">
                  <c:v>-3.3489049400177828E-2</c:v>
                </c:pt>
                <c:pt idx="38">
                  <c:v>-3.4480680716568742E-2</c:v>
                </c:pt>
                <c:pt idx="39">
                  <c:v>-3.5264191880136873E-2</c:v>
                </c:pt>
                <c:pt idx="40">
                  <c:v>-3.5288676603998377E-2</c:v>
                </c:pt>
                <c:pt idx="41">
                  <c:v>-3.8018723314556087E-2</c:v>
                </c:pt>
                <c:pt idx="42">
                  <c:v>-4.1238464502343877E-2</c:v>
                </c:pt>
                <c:pt idx="43">
                  <c:v>-4.231579235225006E-2</c:v>
                </c:pt>
                <c:pt idx="44">
                  <c:v>-4.2328034714180812E-2</c:v>
                </c:pt>
                <c:pt idx="45">
                  <c:v>-4.8534912213072101E-2</c:v>
                </c:pt>
                <c:pt idx="46">
                  <c:v>-4.9502058805601518E-2</c:v>
                </c:pt>
                <c:pt idx="47">
                  <c:v>-5.2244347878089972E-2</c:v>
                </c:pt>
                <c:pt idx="48">
                  <c:v>-6.4523436894634301E-2</c:v>
                </c:pt>
                <c:pt idx="49">
                  <c:v>-7.2505456873484642E-2</c:v>
                </c:pt>
                <c:pt idx="50">
                  <c:v>-7.5308957755626862E-2</c:v>
                </c:pt>
                <c:pt idx="51">
                  <c:v>-7.7757430141777273E-2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EF-4F66-947E-693BE9FF4CD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-3601</c:v>
                </c:pt>
                <c:pt idx="1">
                  <c:v>-3415</c:v>
                </c:pt>
                <c:pt idx="2">
                  <c:v>-3206</c:v>
                </c:pt>
                <c:pt idx="3">
                  <c:v>-3046</c:v>
                </c:pt>
                <c:pt idx="4">
                  <c:v>-2841</c:v>
                </c:pt>
                <c:pt idx="5">
                  <c:v>-2841</c:v>
                </c:pt>
                <c:pt idx="6">
                  <c:v>-2825</c:v>
                </c:pt>
                <c:pt idx="7">
                  <c:v>-2825</c:v>
                </c:pt>
                <c:pt idx="8">
                  <c:v>-2602</c:v>
                </c:pt>
                <c:pt idx="9">
                  <c:v>-2332</c:v>
                </c:pt>
                <c:pt idx="10">
                  <c:v>-2331</c:v>
                </c:pt>
                <c:pt idx="11">
                  <c:v>-1967</c:v>
                </c:pt>
                <c:pt idx="12">
                  <c:v>-1965</c:v>
                </c:pt>
                <c:pt idx="13">
                  <c:v>-1965</c:v>
                </c:pt>
                <c:pt idx="14">
                  <c:v>-1906</c:v>
                </c:pt>
                <c:pt idx="15">
                  <c:v>-1905</c:v>
                </c:pt>
                <c:pt idx="16">
                  <c:v>-1901</c:v>
                </c:pt>
                <c:pt idx="17">
                  <c:v>-1889</c:v>
                </c:pt>
                <c:pt idx="18">
                  <c:v>-1875</c:v>
                </c:pt>
                <c:pt idx="19">
                  <c:v>-1446</c:v>
                </c:pt>
                <c:pt idx="20">
                  <c:v>-1304</c:v>
                </c:pt>
                <c:pt idx="21">
                  <c:v>-1303</c:v>
                </c:pt>
                <c:pt idx="22">
                  <c:v>-1225</c:v>
                </c:pt>
                <c:pt idx="23">
                  <c:v>-1224</c:v>
                </c:pt>
                <c:pt idx="24">
                  <c:v>-1160</c:v>
                </c:pt>
                <c:pt idx="25">
                  <c:v>-1153</c:v>
                </c:pt>
                <c:pt idx="26">
                  <c:v>-1152</c:v>
                </c:pt>
                <c:pt idx="27">
                  <c:v>-713</c:v>
                </c:pt>
                <c:pt idx="28">
                  <c:v>-648</c:v>
                </c:pt>
                <c:pt idx="29">
                  <c:v>-359</c:v>
                </c:pt>
                <c:pt idx="30">
                  <c:v>-353</c:v>
                </c:pt>
                <c:pt idx="31">
                  <c:v>-341</c:v>
                </c:pt>
                <c:pt idx="32">
                  <c:v>-99</c:v>
                </c:pt>
                <c:pt idx="33">
                  <c:v>0</c:v>
                </c:pt>
                <c:pt idx="34">
                  <c:v>0</c:v>
                </c:pt>
                <c:pt idx="35">
                  <c:v>1079</c:v>
                </c:pt>
                <c:pt idx="36">
                  <c:v>1434</c:v>
                </c:pt>
                <c:pt idx="37">
                  <c:v>1513</c:v>
                </c:pt>
                <c:pt idx="38">
                  <c:v>1594</c:v>
                </c:pt>
                <c:pt idx="39">
                  <c:v>1658</c:v>
                </c:pt>
                <c:pt idx="40">
                  <c:v>1660</c:v>
                </c:pt>
                <c:pt idx="41">
                  <c:v>1883</c:v>
                </c:pt>
                <c:pt idx="42">
                  <c:v>2146</c:v>
                </c:pt>
                <c:pt idx="43">
                  <c:v>2234</c:v>
                </c:pt>
                <c:pt idx="44">
                  <c:v>2235</c:v>
                </c:pt>
                <c:pt idx="45">
                  <c:v>2742</c:v>
                </c:pt>
                <c:pt idx="46">
                  <c:v>2821</c:v>
                </c:pt>
                <c:pt idx="47">
                  <c:v>3045</c:v>
                </c:pt>
                <c:pt idx="48">
                  <c:v>4048</c:v>
                </c:pt>
                <c:pt idx="49">
                  <c:v>4700</c:v>
                </c:pt>
                <c:pt idx="50">
                  <c:v>4929</c:v>
                </c:pt>
                <c:pt idx="51">
                  <c:v>5129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2">
                  <c:v>-0.73744860000442713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EF-4F66-947E-693BE9FF4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86376"/>
        <c:axId val="1"/>
      </c:scatterChart>
      <c:valAx>
        <c:axId val="747486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808603470020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86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09107952415039"/>
          <c:y val="0.92024539877300615"/>
          <c:w val="0.7808448375771209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304800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86D0E9F-C181-BB62-81DE-00DD1DA97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64"/>
  <sheetViews>
    <sheetView tabSelected="1" workbookViewId="0">
      <pane xSplit="14" ySplit="21" topLeftCell="O61" activePane="bottomRight" state="frozen"/>
      <selection pane="topRight" activeCell="O1" sqref="O1"/>
      <selection pane="bottomLeft" activeCell="A22" sqref="A22"/>
      <selection pane="bottomRight" activeCell="F14" sqref="F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25</v>
      </c>
      <c r="B2" s="8" t="s">
        <v>46</v>
      </c>
    </row>
    <row r="3" spans="1:6" ht="13.5" thickBot="1" x14ac:dyDescent="0.25">
      <c r="C3" t="s">
        <v>45</v>
      </c>
    </row>
    <row r="4" spans="1:6" ht="14.25" thickTop="1" thickBot="1" x14ac:dyDescent="0.25">
      <c r="A4" s="5" t="s">
        <v>1</v>
      </c>
      <c r="C4" s="2">
        <v>34068.123</v>
      </c>
      <c r="D4" s="3">
        <v>5.0490291000000003</v>
      </c>
    </row>
    <row r="5" spans="1:6" ht="13.5" thickTop="1" x14ac:dyDescent="0.2">
      <c r="A5" s="17" t="s">
        <v>51</v>
      </c>
      <c r="B5" s="8"/>
      <c r="C5" s="18">
        <v>-9.5</v>
      </c>
      <c r="D5" s="8" t="s">
        <v>52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34068.123</v>
      </c>
    </row>
    <row r="8" spans="1:6" x14ac:dyDescent="0.2">
      <c r="A8" t="s">
        <v>4</v>
      </c>
      <c r="C8">
        <f>+D4</f>
        <v>5.0490291000000003</v>
      </c>
    </row>
    <row r="9" spans="1:6" x14ac:dyDescent="0.2">
      <c r="A9" s="32" t="s">
        <v>56</v>
      </c>
      <c r="B9" s="33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8"/>
      <c r="B10" s="8"/>
      <c r="C10" s="4" t="s">
        <v>21</v>
      </c>
      <c r="D10" s="4" t="s">
        <v>22</v>
      </c>
      <c r="E10" s="8"/>
    </row>
    <row r="11" spans="1:6" x14ac:dyDescent="0.2">
      <c r="A11" s="8" t="s">
        <v>17</v>
      </c>
      <c r="B11" s="8"/>
      <c r="C11" s="19">
        <f ca="1">INTERCEPT(INDIRECT($D$9):G992,INDIRECT($C$9):F992)</f>
        <v>-1.4966355798949959E-2</v>
      </c>
      <c r="D11" s="20"/>
      <c r="E11" s="8"/>
    </row>
    <row r="12" spans="1:6" x14ac:dyDescent="0.2">
      <c r="A12" s="8" t="s">
        <v>18</v>
      </c>
      <c r="B12" s="8"/>
      <c r="C12" s="19">
        <f ca="1">SLOPE(INDIRECT($D$9):G992,INDIRECT($C$9):F992)</f>
        <v>-1.2242361930752059E-5</v>
      </c>
      <c r="D12" s="20"/>
      <c r="E12" s="8"/>
    </row>
    <row r="13" spans="1:6" x14ac:dyDescent="0.2">
      <c r="A13" s="8" t="s">
        <v>20</v>
      </c>
      <c r="B13" s="8"/>
      <c r="C13" s="20" t="s">
        <v>15</v>
      </c>
    </row>
    <row r="14" spans="1:6" x14ac:dyDescent="0.2">
      <c r="A14" s="8"/>
      <c r="B14" s="8"/>
      <c r="C14" s="8"/>
    </row>
    <row r="15" spans="1:6" x14ac:dyDescent="0.2">
      <c r="A15" s="23" t="s">
        <v>19</v>
      </c>
      <c r="B15" s="8"/>
      <c r="C15" s="24">
        <f ca="1">(C7+C11)+(C8+C12)*INT(MAX(F21:F3533))</f>
        <v>59964.515496469859</v>
      </c>
      <c r="E15" s="20"/>
      <c r="F15" s="8"/>
    </row>
    <row r="16" spans="1:6" x14ac:dyDescent="0.2">
      <c r="A16" s="27" t="s">
        <v>5</v>
      </c>
      <c r="B16" s="8"/>
      <c r="C16" s="28">
        <f ca="1">+C8+C12</f>
        <v>5.0490168576380698</v>
      </c>
      <c r="E16" s="8"/>
      <c r="F16" s="8"/>
    </row>
    <row r="17" spans="1:21" ht="13.5" thickBot="1" x14ac:dyDescent="0.25">
      <c r="A17" s="25" t="s">
        <v>47</v>
      </c>
      <c r="B17" s="8"/>
      <c r="C17" s="8">
        <f>COUNT(C21:C2191)</f>
        <v>52</v>
      </c>
      <c r="E17" s="25" t="s">
        <v>53</v>
      </c>
      <c r="F17" s="26">
        <f ca="1">TODAY()+15018.5-B5/24</f>
        <v>60173.5</v>
      </c>
    </row>
    <row r="18" spans="1:21" ht="14.25" thickTop="1" thickBot="1" x14ac:dyDescent="0.25">
      <c r="A18" s="27" t="s">
        <v>6</v>
      </c>
      <c r="B18" s="8"/>
      <c r="C18" s="30">
        <f ca="1">+C15</f>
        <v>59964.515496469859</v>
      </c>
      <c r="D18" s="31">
        <f ca="1">+C16</f>
        <v>5.0490168576380698</v>
      </c>
      <c r="E18" s="25" t="s">
        <v>54</v>
      </c>
      <c r="F18" s="26">
        <f ca="1">ROUND(2*(F17-C15)/C16,0)/2+1</f>
        <v>42.5</v>
      </c>
    </row>
    <row r="19" spans="1:21" ht="13.5" thickTop="1" x14ac:dyDescent="0.2">
      <c r="E19" s="25" t="s">
        <v>55</v>
      </c>
      <c r="F19" s="29">
        <f ca="1">+C15+C16*F18-15018.5-C5/24</f>
        <v>45160.994546252812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64</v>
      </c>
      <c r="I20" s="7" t="s">
        <v>67</v>
      </c>
      <c r="J20" s="7" t="s">
        <v>61</v>
      </c>
      <c r="K20" s="7" t="s">
        <v>59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1" t="s">
        <v>240</v>
      </c>
    </row>
    <row r="21" spans="1:21" s="10" customFormat="1" ht="12.75" customHeight="1" x14ac:dyDescent="0.2">
      <c r="A21" s="47" t="s">
        <v>75</v>
      </c>
      <c r="B21" s="49" t="s">
        <v>50</v>
      </c>
      <c r="C21" s="48">
        <v>15886.514999999999</v>
      </c>
      <c r="D21" s="11"/>
      <c r="E21" s="14">
        <f t="shared" ref="E21:E52" si="0">+(C21-C$7)/C$8</f>
        <v>-3601.0107368959311</v>
      </c>
      <c r="F21" s="14">
        <f t="shared" ref="F21:F52" si="1">ROUND(2*E21,0)/2</f>
        <v>-3601</v>
      </c>
      <c r="G21" s="10">
        <f t="shared" ref="G21:G62" si="2">+C21-(C$7+F21*C$8)</f>
        <v>-5.4210899997997331E-2</v>
      </c>
      <c r="H21" s="10">
        <f t="shared" ref="H21:H55" si="3">+G21</f>
        <v>-5.4210899997997331E-2</v>
      </c>
      <c r="O21" s="10">
        <f t="shared" ref="O21:O52" ca="1" si="4">+C$11+C$12*$F21</f>
        <v>2.9118389513688208E-2</v>
      </c>
      <c r="Q21" s="12">
        <f t="shared" ref="Q21:Q52" si="5">+C21-15018.5</f>
        <v>868.01499999999942</v>
      </c>
    </row>
    <row r="22" spans="1:21" s="10" customFormat="1" ht="12.75" customHeight="1" x14ac:dyDescent="0.2">
      <c r="A22" s="47" t="s">
        <v>75</v>
      </c>
      <c r="B22" s="49" t="s">
        <v>50</v>
      </c>
      <c r="C22" s="48">
        <v>16825.786</v>
      </c>
      <c r="D22" s="11"/>
      <c r="E22" s="14">
        <f t="shared" si="0"/>
        <v>-3414.9807138168403</v>
      </c>
      <c r="F22" s="14">
        <f t="shared" si="1"/>
        <v>-3415</v>
      </c>
      <c r="G22" s="10">
        <f t="shared" si="2"/>
        <v>9.7376500001701061E-2</v>
      </c>
      <c r="H22" s="10">
        <f t="shared" si="3"/>
        <v>9.7376500001701061E-2</v>
      </c>
      <c r="O22" s="10">
        <f t="shared" ca="1" si="4"/>
        <v>2.6841310194568323E-2</v>
      </c>
      <c r="Q22" s="12">
        <f t="shared" si="5"/>
        <v>1807.2860000000001</v>
      </c>
    </row>
    <row r="23" spans="1:21" s="10" customFormat="1" ht="12.75" customHeight="1" x14ac:dyDescent="0.2">
      <c r="A23" s="47" t="s">
        <v>75</v>
      </c>
      <c r="B23" s="49" t="s">
        <v>50</v>
      </c>
      <c r="C23" s="48">
        <v>17880.911</v>
      </c>
      <c r="D23" s="11"/>
      <c r="E23" s="14">
        <f t="shared" si="0"/>
        <v>-3206.0048930991502</v>
      </c>
      <c r="F23" s="14">
        <f t="shared" si="1"/>
        <v>-3206</v>
      </c>
      <c r="G23" s="10">
        <f t="shared" si="2"/>
        <v>-2.470539999922039E-2</v>
      </c>
      <c r="H23" s="10">
        <f t="shared" si="3"/>
        <v>-2.470539999922039E-2</v>
      </c>
      <c r="O23" s="10">
        <f t="shared" ca="1" si="4"/>
        <v>2.4282656551041139E-2</v>
      </c>
      <c r="Q23" s="12">
        <f t="shared" si="5"/>
        <v>2862.4110000000001</v>
      </c>
    </row>
    <row r="24" spans="1:21" s="10" customFormat="1" ht="12.75" customHeight="1" x14ac:dyDescent="0.2">
      <c r="A24" s="47" t="s">
        <v>75</v>
      </c>
      <c r="B24" s="49" t="s">
        <v>50</v>
      </c>
      <c r="C24" s="48">
        <v>18688.774000000001</v>
      </c>
      <c r="D24" s="11"/>
      <c r="E24" s="14">
        <f t="shared" si="0"/>
        <v>-3046.0012599253978</v>
      </c>
      <c r="F24" s="14">
        <f t="shared" si="1"/>
        <v>-3046</v>
      </c>
      <c r="G24" s="10">
        <f t="shared" si="2"/>
        <v>-6.3613999991503078E-3</v>
      </c>
      <c r="H24" s="10">
        <f t="shared" si="3"/>
        <v>-6.3613999991503078E-3</v>
      </c>
      <c r="O24" s="10">
        <f t="shared" ca="1" si="4"/>
        <v>2.232387864212081E-2</v>
      </c>
      <c r="Q24" s="12">
        <f t="shared" si="5"/>
        <v>3670.2740000000013</v>
      </c>
    </row>
    <row r="25" spans="1:21" s="10" customFormat="1" ht="12.75" customHeight="1" x14ac:dyDescent="0.2">
      <c r="A25" s="47" t="s">
        <v>75</v>
      </c>
      <c r="B25" s="49" t="s">
        <v>50</v>
      </c>
      <c r="C25" s="48">
        <v>19723.849999999999</v>
      </c>
      <c r="D25" s="11"/>
      <c r="E25" s="14">
        <f t="shared" si="0"/>
        <v>-2840.9963016453994</v>
      </c>
      <c r="F25" s="14">
        <f t="shared" si="1"/>
        <v>-2841</v>
      </c>
      <c r="G25" s="10">
        <f t="shared" si="2"/>
        <v>1.8673099999432452E-2</v>
      </c>
      <c r="H25" s="10">
        <f t="shared" si="3"/>
        <v>1.8673099999432452E-2</v>
      </c>
      <c r="O25" s="10">
        <f t="shared" ca="1" si="4"/>
        <v>1.981419444631664E-2</v>
      </c>
      <c r="Q25" s="12">
        <f t="shared" si="5"/>
        <v>4705.3499999999985</v>
      </c>
    </row>
    <row r="26" spans="1:21" s="10" customFormat="1" ht="12.75" customHeight="1" x14ac:dyDescent="0.2">
      <c r="A26" s="47" t="s">
        <v>75</v>
      </c>
      <c r="B26" s="49" t="s">
        <v>50</v>
      </c>
      <c r="C26" s="48">
        <v>19723.892</v>
      </c>
      <c r="D26" s="11"/>
      <c r="E26" s="14">
        <f t="shared" si="0"/>
        <v>-2840.9879832144361</v>
      </c>
      <c r="F26" s="14">
        <f t="shared" si="1"/>
        <v>-2841</v>
      </c>
      <c r="G26" s="10">
        <f t="shared" si="2"/>
        <v>6.0673100000713021E-2</v>
      </c>
      <c r="H26" s="10">
        <f t="shared" si="3"/>
        <v>6.0673100000713021E-2</v>
      </c>
      <c r="O26" s="10">
        <f t="shared" ca="1" si="4"/>
        <v>1.981419444631664E-2</v>
      </c>
      <c r="Q26" s="12">
        <f t="shared" si="5"/>
        <v>4705.3919999999998</v>
      </c>
    </row>
    <row r="27" spans="1:21" s="10" customFormat="1" ht="12.75" customHeight="1" x14ac:dyDescent="0.2">
      <c r="A27" s="47" t="s">
        <v>75</v>
      </c>
      <c r="B27" s="49" t="s">
        <v>50</v>
      </c>
      <c r="C27" s="48">
        <v>19804.636999999999</v>
      </c>
      <c r="D27" s="11"/>
      <c r="E27" s="14">
        <f t="shared" si="0"/>
        <v>-2824.9957996875082</v>
      </c>
      <c r="F27" s="14">
        <f t="shared" si="1"/>
        <v>-2825</v>
      </c>
      <c r="G27" s="10">
        <f t="shared" si="2"/>
        <v>2.1207499998126877E-2</v>
      </c>
      <c r="H27" s="10">
        <f t="shared" si="3"/>
        <v>2.1207499998126877E-2</v>
      </c>
      <c r="O27" s="10">
        <f t="shared" ca="1" si="4"/>
        <v>1.9618316655424611E-2</v>
      </c>
      <c r="Q27" s="12">
        <f t="shared" si="5"/>
        <v>4786.1369999999988</v>
      </c>
    </row>
    <row r="28" spans="1:21" s="10" customFormat="1" ht="12.75" customHeight="1" x14ac:dyDescent="0.2">
      <c r="A28" s="47" t="s">
        <v>75</v>
      </c>
      <c r="B28" s="49" t="s">
        <v>50</v>
      </c>
      <c r="C28" s="48">
        <v>19804.716</v>
      </c>
      <c r="D28" s="11"/>
      <c r="E28" s="14">
        <f t="shared" si="0"/>
        <v>-2824.9801531149819</v>
      </c>
      <c r="F28" s="14">
        <f t="shared" si="1"/>
        <v>-2825</v>
      </c>
      <c r="G28" s="10">
        <f t="shared" si="2"/>
        <v>0.10020749999966938</v>
      </c>
      <c r="H28" s="10">
        <f t="shared" si="3"/>
        <v>0.10020749999966938</v>
      </c>
      <c r="O28" s="10">
        <f t="shared" ca="1" si="4"/>
        <v>1.9618316655424611E-2</v>
      </c>
      <c r="Q28" s="12">
        <f t="shared" si="5"/>
        <v>4786.2160000000003</v>
      </c>
    </row>
    <row r="29" spans="1:21" s="10" customFormat="1" ht="12.75" customHeight="1" x14ac:dyDescent="0.2">
      <c r="A29" s="47" t="s">
        <v>75</v>
      </c>
      <c r="B29" s="49" t="s">
        <v>50</v>
      </c>
      <c r="C29" s="48">
        <v>20930.608</v>
      </c>
      <c r="D29" s="11"/>
      <c r="E29" s="14">
        <f t="shared" si="0"/>
        <v>-2601.9883703977857</v>
      </c>
      <c r="F29" s="14">
        <f t="shared" si="1"/>
        <v>-2602</v>
      </c>
      <c r="G29" s="10">
        <f t="shared" si="2"/>
        <v>5.871820000174921E-2</v>
      </c>
      <c r="H29" s="10">
        <f t="shared" si="3"/>
        <v>5.871820000174921E-2</v>
      </c>
      <c r="O29" s="10">
        <f t="shared" ca="1" si="4"/>
        <v>1.6888269944866901E-2</v>
      </c>
      <c r="Q29" s="12">
        <f t="shared" si="5"/>
        <v>5912.1080000000002</v>
      </c>
    </row>
    <row r="30" spans="1:21" s="10" customFormat="1" ht="12.75" customHeight="1" x14ac:dyDescent="0.2">
      <c r="A30" s="47" t="s">
        <v>75</v>
      </c>
      <c r="B30" s="49" t="s">
        <v>50</v>
      </c>
      <c r="C30" s="48">
        <v>22293.817999999999</v>
      </c>
      <c r="D30" s="11"/>
      <c r="E30" s="14">
        <f t="shared" si="0"/>
        <v>-2331.9938876961514</v>
      </c>
      <c r="F30" s="14">
        <f t="shared" si="1"/>
        <v>-2332</v>
      </c>
      <c r="G30" s="10">
        <f t="shared" si="2"/>
        <v>3.0861200000799727E-2</v>
      </c>
      <c r="H30" s="10">
        <f t="shared" si="3"/>
        <v>3.0861200000799727E-2</v>
      </c>
      <c r="O30" s="10">
        <f t="shared" ca="1" si="4"/>
        <v>1.3582832223563844E-2</v>
      </c>
      <c r="Q30" s="12">
        <f t="shared" si="5"/>
        <v>7275.3179999999993</v>
      </c>
    </row>
    <row r="31" spans="1:21" s="10" customFormat="1" ht="12.75" customHeight="1" x14ac:dyDescent="0.2">
      <c r="A31" s="47" t="s">
        <v>75</v>
      </c>
      <c r="B31" s="49" t="s">
        <v>50</v>
      </c>
      <c r="C31" s="48">
        <v>22298.909</v>
      </c>
      <c r="D31" s="11"/>
      <c r="E31" s="14">
        <f t="shared" si="0"/>
        <v>-2330.9855750286724</v>
      </c>
      <c r="F31" s="14">
        <f t="shared" si="1"/>
        <v>-2331</v>
      </c>
      <c r="G31" s="10">
        <f t="shared" si="2"/>
        <v>7.2832099998777267E-2</v>
      </c>
      <c r="H31" s="10">
        <f t="shared" si="3"/>
        <v>7.2832099998777267E-2</v>
      </c>
      <c r="O31" s="10">
        <f t="shared" ca="1" si="4"/>
        <v>1.3570589861633092E-2</v>
      </c>
      <c r="Q31" s="12">
        <f t="shared" si="5"/>
        <v>7280.4089999999997</v>
      </c>
    </row>
    <row r="32" spans="1:21" s="10" customFormat="1" ht="12.75" customHeight="1" x14ac:dyDescent="0.2">
      <c r="A32" s="47" t="s">
        <v>75</v>
      </c>
      <c r="B32" s="49" t="s">
        <v>50</v>
      </c>
      <c r="C32" s="48">
        <v>24136.705000000002</v>
      </c>
      <c r="D32" s="11"/>
      <c r="E32" s="14">
        <f t="shared" si="0"/>
        <v>-1966.9955952521639</v>
      </c>
      <c r="F32" s="14">
        <f t="shared" si="1"/>
        <v>-1967</v>
      </c>
      <c r="G32" s="10">
        <f t="shared" si="2"/>
        <v>2.223970000341069E-2</v>
      </c>
      <c r="H32" s="10">
        <f t="shared" si="3"/>
        <v>2.223970000341069E-2</v>
      </c>
      <c r="O32" s="10">
        <f t="shared" ca="1" si="4"/>
        <v>9.1143701188393413E-3</v>
      </c>
      <c r="Q32" s="12">
        <f t="shared" si="5"/>
        <v>9118.2050000000017</v>
      </c>
    </row>
    <row r="33" spans="1:17" s="10" customFormat="1" ht="12.75" customHeight="1" x14ac:dyDescent="0.2">
      <c r="A33" s="47" t="s">
        <v>75</v>
      </c>
      <c r="B33" s="49" t="s">
        <v>50</v>
      </c>
      <c r="C33" s="48">
        <v>24146.692999999999</v>
      </c>
      <c r="D33" s="11"/>
      <c r="E33" s="14">
        <f t="shared" si="0"/>
        <v>-1965.0173931459417</v>
      </c>
      <c r="F33" s="14">
        <f t="shared" si="1"/>
        <v>-1965</v>
      </c>
      <c r="G33" s="10">
        <f t="shared" si="2"/>
        <v>-8.7818500000139466E-2</v>
      </c>
      <c r="H33" s="10">
        <f t="shared" si="3"/>
        <v>-8.7818500000139466E-2</v>
      </c>
      <c r="O33" s="10">
        <f t="shared" ca="1" si="4"/>
        <v>9.0898853949778376E-3</v>
      </c>
      <c r="Q33" s="12">
        <f t="shared" si="5"/>
        <v>9128.1929999999993</v>
      </c>
    </row>
    <row r="34" spans="1:17" s="10" customFormat="1" ht="12.75" customHeight="1" x14ac:dyDescent="0.2">
      <c r="A34" s="47" t="s">
        <v>75</v>
      </c>
      <c r="B34" s="49" t="s">
        <v>50</v>
      </c>
      <c r="C34" s="48">
        <v>24146.809000000001</v>
      </c>
      <c r="D34" s="11"/>
      <c r="E34" s="14">
        <f t="shared" si="0"/>
        <v>-1964.9944184318522</v>
      </c>
      <c r="F34" s="14">
        <f t="shared" si="1"/>
        <v>-1965</v>
      </c>
      <c r="G34" s="10">
        <f t="shared" si="2"/>
        <v>2.8181500001664972E-2</v>
      </c>
      <c r="H34" s="10">
        <f t="shared" si="3"/>
        <v>2.8181500001664972E-2</v>
      </c>
      <c r="O34" s="10">
        <f t="shared" ca="1" si="4"/>
        <v>9.0898853949778376E-3</v>
      </c>
      <c r="Q34" s="12">
        <f t="shared" si="5"/>
        <v>9128.3090000000011</v>
      </c>
    </row>
    <row r="35" spans="1:17" s="10" customFormat="1" ht="12.75" customHeight="1" x14ac:dyDescent="0.2">
      <c r="A35" s="47" t="s">
        <v>120</v>
      </c>
      <c r="B35" s="49" t="s">
        <v>50</v>
      </c>
      <c r="C35" s="48">
        <v>24444.666000000001</v>
      </c>
      <c r="D35" s="11"/>
      <c r="E35" s="14">
        <f t="shared" si="0"/>
        <v>-1906.0014924453492</v>
      </c>
      <c r="F35" s="14">
        <f t="shared" si="1"/>
        <v>-1906</v>
      </c>
      <c r="G35" s="10">
        <f t="shared" si="2"/>
        <v>-7.5353999964136165E-3</v>
      </c>
      <c r="H35" s="10">
        <f t="shared" si="3"/>
        <v>-7.5353999964136165E-3</v>
      </c>
      <c r="O35" s="10">
        <f t="shared" ca="1" si="4"/>
        <v>8.3675860410634649E-3</v>
      </c>
      <c r="Q35" s="12">
        <f t="shared" si="5"/>
        <v>9426.1660000000011</v>
      </c>
    </row>
    <row r="36" spans="1:17" s="10" customFormat="1" ht="12.75" customHeight="1" x14ac:dyDescent="0.2">
      <c r="A36" s="47" t="s">
        <v>120</v>
      </c>
      <c r="B36" s="49" t="s">
        <v>50</v>
      </c>
      <c r="C36" s="48">
        <v>24449.722000000002</v>
      </c>
      <c r="D36" s="11"/>
      <c r="E36" s="14">
        <f t="shared" si="0"/>
        <v>-1905.0001118036728</v>
      </c>
      <c r="F36" s="14">
        <f t="shared" si="1"/>
        <v>-1905</v>
      </c>
      <c r="G36" s="10">
        <f t="shared" si="2"/>
        <v>-5.6449999829055741E-4</v>
      </c>
      <c r="H36" s="10">
        <f t="shared" si="3"/>
        <v>-5.6449999829055741E-4</v>
      </c>
      <c r="O36" s="10">
        <f t="shared" ca="1" si="4"/>
        <v>8.3553436791327131E-3</v>
      </c>
      <c r="Q36" s="12">
        <f t="shared" si="5"/>
        <v>9431.2220000000016</v>
      </c>
    </row>
    <row r="37" spans="1:17" s="10" customFormat="1" ht="12.75" customHeight="1" x14ac:dyDescent="0.2">
      <c r="A37" s="47" t="s">
        <v>75</v>
      </c>
      <c r="B37" s="49" t="s">
        <v>50</v>
      </c>
      <c r="C37" s="48">
        <v>24469.86</v>
      </c>
      <c r="D37" s="11"/>
      <c r="E37" s="14">
        <f t="shared" si="0"/>
        <v>-1901.0116222146548</v>
      </c>
      <c r="F37" s="14">
        <f t="shared" si="1"/>
        <v>-1901</v>
      </c>
      <c r="G37" s="10">
        <f t="shared" si="2"/>
        <v>-5.8680899997852976E-2</v>
      </c>
      <c r="H37" s="10">
        <f t="shared" si="3"/>
        <v>-5.8680899997852976E-2</v>
      </c>
      <c r="O37" s="10">
        <f t="shared" ca="1" si="4"/>
        <v>8.3063742314097057E-3</v>
      </c>
      <c r="Q37" s="12">
        <f t="shared" si="5"/>
        <v>9451.36</v>
      </c>
    </row>
    <row r="38" spans="1:17" s="10" customFormat="1" ht="12.75" customHeight="1" x14ac:dyDescent="0.2">
      <c r="A38" s="47" t="s">
        <v>130</v>
      </c>
      <c r="B38" s="49" t="s">
        <v>50</v>
      </c>
      <c r="C38" s="48">
        <v>24530.517</v>
      </c>
      <c r="D38" s="11"/>
      <c r="E38" s="14">
        <f t="shared" si="0"/>
        <v>-1888.9980253827412</v>
      </c>
      <c r="F38" s="14">
        <f t="shared" si="1"/>
        <v>-1889</v>
      </c>
      <c r="G38" s="10">
        <f t="shared" si="2"/>
        <v>9.9698999983957037E-3</v>
      </c>
      <c r="H38" s="10">
        <f t="shared" si="3"/>
        <v>9.9698999983957037E-3</v>
      </c>
      <c r="O38" s="10">
        <f t="shared" ca="1" si="4"/>
        <v>8.1594658882406801E-3</v>
      </c>
      <c r="Q38" s="12">
        <f t="shared" si="5"/>
        <v>9512.0169999999998</v>
      </c>
    </row>
    <row r="39" spans="1:17" s="10" customFormat="1" ht="12.75" customHeight="1" x14ac:dyDescent="0.2">
      <c r="A39" s="47" t="s">
        <v>120</v>
      </c>
      <c r="B39" s="49" t="s">
        <v>50</v>
      </c>
      <c r="C39" s="48">
        <v>24601.19</v>
      </c>
      <c r="D39" s="11"/>
      <c r="E39" s="14">
        <f t="shared" si="0"/>
        <v>-1875.0006808239627</v>
      </c>
      <c r="F39" s="14">
        <f t="shared" si="1"/>
        <v>-1875</v>
      </c>
      <c r="G39" s="10">
        <f t="shared" si="2"/>
        <v>-3.4374999995634425E-3</v>
      </c>
      <c r="H39" s="10">
        <f t="shared" si="3"/>
        <v>-3.4374999995634425E-3</v>
      </c>
      <c r="O39" s="10">
        <f t="shared" ca="1" si="4"/>
        <v>7.9880728212101508E-3</v>
      </c>
      <c r="Q39" s="12">
        <f t="shared" si="5"/>
        <v>9582.6899999999987</v>
      </c>
    </row>
    <row r="40" spans="1:17" s="10" customFormat="1" ht="12.75" customHeight="1" x14ac:dyDescent="0.2">
      <c r="A40" s="47" t="s">
        <v>120</v>
      </c>
      <c r="B40" s="49" t="s">
        <v>50</v>
      </c>
      <c r="C40" s="48">
        <v>26767.22</v>
      </c>
      <c r="D40" s="11"/>
      <c r="E40" s="14">
        <f t="shared" si="0"/>
        <v>-1446.0013708378108</v>
      </c>
      <c r="F40" s="14">
        <f t="shared" si="1"/>
        <v>-1446</v>
      </c>
      <c r="G40" s="10">
        <f t="shared" si="2"/>
        <v>-6.9213999959174544E-3</v>
      </c>
      <c r="H40" s="10">
        <f t="shared" si="3"/>
        <v>-6.9213999959174544E-3</v>
      </c>
      <c r="O40" s="10">
        <f t="shared" ca="1" si="4"/>
        <v>2.7360995529175196E-3</v>
      </c>
      <c r="Q40" s="12">
        <f t="shared" si="5"/>
        <v>11748.720000000001</v>
      </c>
    </row>
    <row r="41" spans="1:17" s="10" customFormat="1" ht="12.75" customHeight="1" x14ac:dyDescent="0.2">
      <c r="A41" s="47" t="s">
        <v>140</v>
      </c>
      <c r="B41" s="49" t="s">
        <v>50</v>
      </c>
      <c r="C41" s="48">
        <v>27484.187999999998</v>
      </c>
      <c r="D41" s="11"/>
      <c r="E41" s="14">
        <f t="shared" si="0"/>
        <v>-1304.0002086737827</v>
      </c>
      <c r="F41" s="14">
        <f t="shared" si="1"/>
        <v>-1304</v>
      </c>
      <c r="G41" s="10">
        <f t="shared" si="2"/>
        <v>-1.0536000008869451E-3</v>
      </c>
      <c r="H41" s="10">
        <f t="shared" si="3"/>
        <v>-1.0536000008869451E-3</v>
      </c>
      <c r="O41" s="10">
        <f t="shared" ca="1" si="4"/>
        <v>9.9768415875072652E-4</v>
      </c>
      <c r="Q41" s="12">
        <f t="shared" si="5"/>
        <v>12465.687999999998</v>
      </c>
    </row>
    <row r="42" spans="1:17" s="10" customFormat="1" ht="12.75" customHeight="1" x14ac:dyDescent="0.2">
      <c r="A42" s="47" t="s">
        <v>140</v>
      </c>
      <c r="B42" s="49" t="s">
        <v>50</v>
      </c>
      <c r="C42" s="48">
        <v>27489.223000000002</v>
      </c>
      <c r="D42" s="11"/>
      <c r="E42" s="14">
        <f t="shared" si="0"/>
        <v>-1303.0029872475873</v>
      </c>
      <c r="F42" s="14">
        <f t="shared" si="1"/>
        <v>-1303</v>
      </c>
      <c r="G42" s="10">
        <f t="shared" si="2"/>
        <v>-1.5082699996128213E-2</v>
      </c>
      <c r="H42" s="10">
        <f t="shared" si="3"/>
        <v>-1.5082699996128213E-2</v>
      </c>
      <c r="O42" s="10">
        <f t="shared" ca="1" si="4"/>
        <v>9.8544179681997468E-4</v>
      </c>
      <c r="Q42" s="12">
        <f t="shared" si="5"/>
        <v>12470.723000000002</v>
      </c>
    </row>
    <row r="43" spans="1:17" s="10" customFormat="1" ht="12.75" customHeight="1" x14ac:dyDescent="0.2">
      <c r="A43" s="47" t="s">
        <v>140</v>
      </c>
      <c r="B43" s="49" t="s">
        <v>50</v>
      </c>
      <c r="C43" s="48">
        <v>27883.026999999998</v>
      </c>
      <c r="D43" s="11"/>
      <c r="E43" s="14">
        <f t="shared" si="0"/>
        <v>-1225.0070018412057</v>
      </c>
      <c r="F43" s="14">
        <f t="shared" si="1"/>
        <v>-1225</v>
      </c>
      <c r="G43" s="10">
        <f t="shared" si="2"/>
        <v>-3.5352499999135034E-2</v>
      </c>
      <c r="H43" s="10">
        <f t="shared" si="3"/>
        <v>-3.5352499999135034E-2</v>
      </c>
      <c r="O43" s="10">
        <f t="shared" ca="1" si="4"/>
        <v>3.0537566221313511E-5</v>
      </c>
      <c r="Q43" s="12">
        <f t="shared" si="5"/>
        <v>12864.526999999998</v>
      </c>
    </row>
    <row r="44" spans="1:17" s="10" customFormat="1" ht="12.75" customHeight="1" x14ac:dyDescent="0.2">
      <c r="A44" s="47" t="s">
        <v>140</v>
      </c>
      <c r="B44" s="49" t="s">
        <v>50</v>
      </c>
      <c r="C44" s="48">
        <v>27888.113000000001</v>
      </c>
      <c r="D44" s="11"/>
      <c r="E44" s="14">
        <f t="shared" si="0"/>
        <v>-1223.9996794631265</v>
      </c>
      <c r="F44" s="14">
        <f t="shared" si="1"/>
        <v>-1224</v>
      </c>
      <c r="G44" s="10">
        <f t="shared" si="2"/>
        <v>1.6184000014618505E-3</v>
      </c>
      <c r="H44" s="10">
        <f t="shared" si="3"/>
        <v>1.6184000014618505E-3</v>
      </c>
      <c r="O44" s="10">
        <f t="shared" ca="1" si="4"/>
        <v>1.8295204290561667E-5</v>
      </c>
      <c r="Q44" s="12">
        <f t="shared" si="5"/>
        <v>12869.613000000001</v>
      </c>
    </row>
    <row r="45" spans="1:17" s="10" customFormat="1" ht="12.75" customHeight="1" x14ac:dyDescent="0.2">
      <c r="A45" s="47" t="s">
        <v>140</v>
      </c>
      <c r="B45" s="49" t="s">
        <v>50</v>
      </c>
      <c r="C45" s="48">
        <v>28211.245999999999</v>
      </c>
      <c r="D45" s="11"/>
      <c r="E45" s="14">
        <f t="shared" si="0"/>
        <v>-1160.000642499763</v>
      </c>
      <c r="F45" s="14">
        <f t="shared" si="1"/>
        <v>-1160</v>
      </c>
      <c r="G45" s="10">
        <f t="shared" si="2"/>
        <v>-3.2439999995403923E-3</v>
      </c>
      <c r="H45" s="10">
        <f t="shared" si="3"/>
        <v>-3.2439999995403923E-3</v>
      </c>
      <c r="O45" s="10">
        <f t="shared" ca="1" si="4"/>
        <v>-7.6521595927757022E-4</v>
      </c>
      <c r="Q45" s="12">
        <f t="shared" si="5"/>
        <v>13192.745999999999</v>
      </c>
    </row>
    <row r="46" spans="1:17" s="10" customFormat="1" ht="12.75" customHeight="1" x14ac:dyDescent="0.2">
      <c r="A46" s="47" t="s">
        <v>140</v>
      </c>
      <c r="B46" s="49" t="s">
        <v>50</v>
      </c>
      <c r="C46" s="48">
        <v>28246.606</v>
      </c>
      <c r="D46" s="11"/>
      <c r="E46" s="14">
        <f t="shared" si="0"/>
        <v>-1152.9973158601917</v>
      </c>
      <c r="F46" s="14">
        <f t="shared" si="1"/>
        <v>-1153</v>
      </c>
      <c r="G46" s="10">
        <f t="shared" si="2"/>
        <v>1.3552299998991657E-2</v>
      </c>
      <c r="H46" s="10">
        <f t="shared" si="3"/>
        <v>1.3552299998991657E-2</v>
      </c>
      <c r="O46" s="10">
        <f t="shared" ca="1" si="4"/>
        <v>-8.5091249279283486E-4</v>
      </c>
      <c r="Q46" s="12">
        <f t="shared" si="5"/>
        <v>13228.106</v>
      </c>
    </row>
    <row r="47" spans="1:17" s="10" customFormat="1" ht="12.75" customHeight="1" x14ac:dyDescent="0.2">
      <c r="A47" s="47" t="s">
        <v>159</v>
      </c>
      <c r="B47" s="49" t="s">
        <v>50</v>
      </c>
      <c r="C47" s="48">
        <v>28251.620999999999</v>
      </c>
      <c r="D47" s="11"/>
      <c r="E47" s="14">
        <f t="shared" si="0"/>
        <v>-1152.0040555915989</v>
      </c>
      <c r="F47" s="14">
        <f t="shared" si="1"/>
        <v>-1152</v>
      </c>
      <c r="G47" s="10">
        <f t="shared" si="2"/>
        <v>-2.0476800000324147E-2</v>
      </c>
      <c r="H47" s="10">
        <f t="shared" si="3"/>
        <v>-2.0476800000324147E-2</v>
      </c>
      <c r="O47" s="10">
        <f t="shared" ca="1" si="4"/>
        <v>-8.631548547235867E-4</v>
      </c>
      <c r="Q47" s="12">
        <f t="shared" si="5"/>
        <v>13233.120999999999</v>
      </c>
    </row>
    <row r="48" spans="1:17" s="10" customFormat="1" ht="12.75" customHeight="1" x14ac:dyDescent="0.2">
      <c r="A48" s="47" t="s">
        <v>162</v>
      </c>
      <c r="B48" s="49" t="s">
        <v>50</v>
      </c>
      <c r="C48" s="48">
        <v>30468.14</v>
      </c>
      <c r="D48" s="11"/>
      <c r="E48" s="14">
        <f t="shared" si="0"/>
        <v>-713.00500129817033</v>
      </c>
      <c r="F48" s="14">
        <f t="shared" si="1"/>
        <v>-713</v>
      </c>
      <c r="G48" s="10">
        <f t="shared" si="2"/>
        <v>-2.5251700000808341E-2</v>
      </c>
      <c r="H48" s="10">
        <f t="shared" si="3"/>
        <v>-2.5251700000808341E-2</v>
      </c>
      <c r="O48" s="10">
        <f t="shared" ca="1" si="4"/>
        <v>-6.2375517423237416E-3</v>
      </c>
      <c r="Q48" s="12">
        <f t="shared" si="5"/>
        <v>15449.64</v>
      </c>
    </row>
    <row r="49" spans="1:33" s="10" customFormat="1" ht="12.75" customHeight="1" x14ac:dyDescent="0.2">
      <c r="A49" s="47" t="s">
        <v>120</v>
      </c>
      <c r="B49" s="49" t="s">
        <v>50</v>
      </c>
      <c r="C49" s="48">
        <v>30796.322</v>
      </c>
      <c r="D49" s="11"/>
      <c r="E49" s="14">
        <f t="shared" si="0"/>
        <v>-648.00597009829062</v>
      </c>
      <c r="F49" s="14">
        <f t="shared" si="1"/>
        <v>-648</v>
      </c>
      <c r="G49" s="10">
        <f t="shared" si="2"/>
        <v>-3.0143199997837655E-2</v>
      </c>
      <c r="H49" s="10">
        <f t="shared" si="3"/>
        <v>-3.0143199997837655E-2</v>
      </c>
      <c r="O49" s="10">
        <f t="shared" ca="1" si="4"/>
        <v>-7.0333052678226253E-3</v>
      </c>
      <c r="Q49" s="12">
        <f t="shared" si="5"/>
        <v>15777.822</v>
      </c>
    </row>
    <row r="50" spans="1:33" s="10" customFormat="1" ht="12.75" customHeight="1" x14ac:dyDescent="0.2">
      <c r="A50" s="47" t="s">
        <v>168</v>
      </c>
      <c r="B50" s="49" t="s">
        <v>50</v>
      </c>
      <c r="C50" s="48">
        <v>32255.513999999999</v>
      </c>
      <c r="D50" s="11"/>
      <c r="E50" s="14">
        <f t="shared" si="0"/>
        <v>-359.00149595097406</v>
      </c>
      <c r="F50" s="14">
        <f t="shared" si="1"/>
        <v>-359</v>
      </c>
      <c r="G50" s="10">
        <f t="shared" si="2"/>
        <v>-7.5531000002229121E-3</v>
      </c>
      <c r="H50" s="10">
        <f t="shared" si="3"/>
        <v>-7.5531000002229121E-3</v>
      </c>
      <c r="O50" s="10">
        <f t="shared" ca="1" si="4"/>
        <v>-1.0571347865809971E-2</v>
      </c>
      <c r="Q50" s="12">
        <f t="shared" si="5"/>
        <v>17237.013999999999</v>
      </c>
    </row>
    <row r="51" spans="1:33" s="10" customFormat="1" ht="12.75" customHeight="1" x14ac:dyDescent="0.2">
      <c r="A51" s="47" t="s">
        <v>173</v>
      </c>
      <c r="B51" s="49" t="s">
        <v>50</v>
      </c>
      <c r="C51" s="48">
        <v>32285.85</v>
      </c>
      <c r="D51" s="11"/>
      <c r="E51" s="14">
        <f t="shared" si="0"/>
        <v>-352.99321210091676</v>
      </c>
      <c r="F51" s="14">
        <f t="shared" si="1"/>
        <v>-353</v>
      </c>
      <c r="G51" s="10">
        <f t="shared" si="2"/>
        <v>3.4272299999429379E-2</v>
      </c>
      <c r="H51" s="10">
        <f t="shared" si="3"/>
        <v>3.4272299999429379E-2</v>
      </c>
      <c r="O51" s="10">
        <f t="shared" ca="1" si="4"/>
        <v>-1.0644802037394482E-2</v>
      </c>
      <c r="Q51" s="12">
        <f t="shared" si="5"/>
        <v>17267.349999999999</v>
      </c>
    </row>
    <row r="52" spans="1:33" s="10" customFormat="1" ht="12.75" customHeight="1" x14ac:dyDescent="0.2">
      <c r="A52" s="47" t="s">
        <v>177</v>
      </c>
      <c r="B52" s="49" t="s">
        <v>50</v>
      </c>
      <c r="C52" s="48">
        <v>32346.394</v>
      </c>
      <c r="D52" s="11"/>
      <c r="E52" s="14">
        <f t="shared" si="0"/>
        <v>-341.00199580945161</v>
      </c>
      <c r="F52" s="14">
        <f t="shared" si="1"/>
        <v>-341</v>
      </c>
      <c r="G52" s="10">
        <f t="shared" si="2"/>
        <v>-1.0076899998239242E-2</v>
      </c>
      <c r="H52" s="10">
        <f t="shared" si="3"/>
        <v>-1.0076899998239242E-2</v>
      </c>
      <c r="O52" s="10">
        <f t="shared" ca="1" si="4"/>
        <v>-1.0791710380563507E-2</v>
      </c>
      <c r="Q52" s="12">
        <f t="shared" si="5"/>
        <v>17327.894</v>
      </c>
    </row>
    <row r="53" spans="1:33" s="10" customFormat="1" ht="12.75" customHeight="1" x14ac:dyDescent="0.2">
      <c r="A53" s="47" t="s">
        <v>181</v>
      </c>
      <c r="B53" s="49" t="s">
        <v>50</v>
      </c>
      <c r="C53" s="48">
        <v>33568.31</v>
      </c>
      <c r="D53" s="11"/>
      <c r="E53" s="14">
        <f t="shared" ref="E53:E69" si="6">+(C53-C$7)/C$8</f>
        <v>-98.991903215610677</v>
      </c>
      <c r="F53" s="14">
        <f t="shared" ref="F53:F70" si="7">ROUND(2*E53,0)/2</f>
        <v>-99</v>
      </c>
      <c r="G53" s="10">
        <f t="shared" si="2"/>
        <v>4.0880900000047404E-2</v>
      </c>
      <c r="H53" s="10">
        <f t="shared" si="3"/>
        <v>4.0880900000047404E-2</v>
      </c>
      <c r="O53" s="10">
        <f t="shared" ref="O53:O69" ca="1" si="8">+C$11+C$12*$F53</f>
        <v>-1.3754361967805506E-2</v>
      </c>
      <c r="Q53" s="12">
        <f t="shared" ref="Q53:Q69" si="9">+C53-15018.5</f>
        <v>18549.809999999998</v>
      </c>
    </row>
    <row r="54" spans="1:33" s="10" customFormat="1" ht="12.75" customHeight="1" x14ac:dyDescent="0.2">
      <c r="A54" s="47" t="s">
        <v>168</v>
      </c>
      <c r="B54" s="49" t="s">
        <v>50</v>
      </c>
      <c r="C54" s="48">
        <v>34068.1</v>
      </c>
      <c r="D54" s="11"/>
      <c r="E54" s="14">
        <f t="shared" si="6"/>
        <v>-4.5553312420100207E-3</v>
      </c>
      <c r="F54" s="14">
        <f t="shared" si="7"/>
        <v>0</v>
      </c>
      <c r="G54" s="10">
        <f t="shared" si="2"/>
        <v>-2.3000000001047738E-2</v>
      </c>
      <c r="H54" s="10">
        <f t="shared" si="3"/>
        <v>-2.3000000001047738E-2</v>
      </c>
      <c r="O54" s="10">
        <f t="shared" ca="1" si="8"/>
        <v>-1.4966355798949959E-2</v>
      </c>
      <c r="Q54" s="12">
        <f t="shared" si="9"/>
        <v>19049.599999999999</v>
      </c>
    </row>
    <row r="55" spans="1:33" s="10" customFormat="1" ht="12.75" customHeight="1" x14ac:dyDescent="0.2">
      <c r="A55" s="14" t="s">
        <v>13</v>
      </c>
      <c r="B55" s="14"/>
      <c r="C55" s="15">
        <v>34068.123</v>
      </c>
      <c r="D55" s="15" t="s">
        <v>15</v>
      </c>
      <c r="E55" s="14">
        <f t="shared" si="6"/>
        <v>0</v>
      </c>
      <c r="F55" s="14">
        <f t="shared" si="7"/>
        <v>0</v>
      </c>
      <c r="G55" s="10">
        <f t="shared" si="2"/>
        <v>0</v>
      </c>
      <c r="H55" s="10">
        <f t="shared" si="3"/>
        <v>0</v>
      </c>
      <c r="O55" s="10">
        <f t="shared" ca="1" si="8"/>
        <v>-1.4966355798949959E-2</v>
      </c>
      <c r="Q55" s="12">
        <f t="shared" si="9"/>
        <v>19049.623</v>
      </c>
    </row>
    <row r="56" spans="1:33" s="10" customFormat="1" ht="12.75" customHeight="1" x14ac:dyDescent="0.2">
      <c r="A56" s="47" t="s">
        <v>191</v>
      </c>
      <c r="B56" s="49" t="s">
        <v>50</v>
      </c>
      <c r="C56" s="48">
        <v>39516.038</v>
      </c>
      <c r="D56" s="11"/>
      <c r="E56" s="14">
        <f t="shared" si="6"/>
        <v>1079.0024957471528</v>
      </c>
      <c r="F56" s="14">
        <f t="shared" si="7"/>
        <v>1079</v>
      </c>
      <c r="G56" s="10">
        <f t="shared" si="2"/>
        <v>1.2601100002939347E-2</v>
      </c>
      <c r="I56" s="10">
        <f>+G56</f>
        <v>1.2601100002939347E-2</v>
      </c>
      <c r="O56" s="10">
        <f t="shared" ca="1" si="8"/>
        <v>-2.8175864322231431E-2</v>
      </c>
      <c r="Q56" s="12">
        <f t="shared" si="9"/>
        <v>24497.538</v>
      </c>
    </row>
    <row r="57" spans="1:33" s="10" customFormat="1" ht="12.75" customHeight="1" x14ac:dyDescent="0.2">
      <c r="A57" s="14" t="s">
        <v>30</v>
      </c>
      <c r="B57" s="14"/>
      <c r="C57" s="15">
        <v>41308.432999999997</v>
      </c>
      <c r="D57" s="15"/>
      <c r="E57" s="14">
        <f t="shared" si="6"/>
        <v>1434.000449710222</v>
      </c>
      <c r="F57" s="14">
        <f t="shared" si="7"/>
        <v>1434</v>
      </c>
      <c r="G57" s="10">
        <f t="shared" si="2"/>
        <v>2.2705999945173971E-3</v>
      </c>
      <c r="I57" s="10">
        <f t="shared" ref="I57:I62" si="10">+G57</f>
        <v>2.2705999945173971E-3</v>
      </c>
      <c r="O57" s="10">
        <f t="shared" ca="1" si="8"/>
        <v>-3.2521902807648412E-2</v>
      </c>
      <c r="Q57" s="12">
        <f t="shared" si="9"/>
        <v>26289.932999999997</v>
      </c>
      <c r="AC57" s="10">
        <v>13</v>
      </c>
      <c r="AE57" s="10" t="s">
        <v>29</v>
      </c>
      <c r="AG57" s="10" t="s">
        <v>31</v>
      </c>
    </row>
    <row r="58" spans="1:33" s="10" customFormat="1" ht="12.75" customHeight="1" x14ac:dyDescent="0.2">
      <c r="A58" s="14" t="s">
        <v>33</v>
      </c>
      <c r="B58" s="14"/>
      <c r="C58" s="15">
        <v>41707.311999999998</v>
      </c>
      <c r="D58" s="15"/>
      <c r="E58" s="14">
        <f t="shared" si="6"/>
        <v>1513.0015788580022</v>
      </c>
      <c r="F58" s="14">
        <f t="shared" si="7"/>
        <v>1513</v>
      </c>
      <c r="G58" s="10">
        <f t="shared" si="2"/>
        <v>7.9716999971424229E-3</v>
      </c>
      <c r="I58" s="10">
        <f t="shared" si="10"/>
        <v>7.9716999971424229E-3</v>
      </c>
      <c r="O58" s="10">
        <f t="shared" ca="1" si="8"/>
        <v>-3.3489049400177828E-2</v>
      </c>
      <c r="Q58" s="12">
        <f t="shared" si="9"/>
        <v>26688.811999999998</v>
      </c>
      <c r="AB58" s="10" t="s">
        <v>32</v>
      </c>
      <c r="AC58" s="10">
        <v>11</v>
      </c>
      <c r="AE58" s="10" t="s">
        <v>29</v>
      </c>
      <c r="AG58" s="10" t="s">
        <v>31</v>
      </c>
    </row>
    <row r="59" spans="1:33" s="10" customFormat="1" ht="12.75" customHeight="1" x14ac:dyDescent="0.2">
      <c r="A59" s="14" t="s">
        <v>34</v>
      </c>
      <c r="B59" s="14"/>
      <c r="C59" s="15">
        <v>42116.284</v>
      </c>
      <c r="D59" s="15"/>
      <c r="E59" s="14">
        <f t="shared" si="6"/>
        <v>1594.0017061894137</v>
      </c>
      <c r="F59" s="14">
        <f t="shared" si="7"/>
        <v>1594</v>
      </c>
      <c r="G59" s="10">
        <f t="shared" si="2"/>
        <v>8.6145999957807362E-3</v>
      </c>
      <c r="I59" s="10">
        <f t="shared" si="10"/>
        <v>8.6145999957807362E-3</v>
      </c>
      <c r="O59" s="10">
        <f t="shared" ca="1" si="8"/>
        <v>-3.4480680716568742E-2</v>
      </c>
      <c r="Q59" s="12">
        <f t="shared" si="9"/>
        <v>27097.784</v>
      </c>
      <c r="AB59" s="10" t="s">
        <v>32</v>
      </c>
      <c r="AC59" s="10">
        <v>11</v>
      </c>
      <c r="AE59" s="10" t="s">
        <v>29</v>
      </c>
      <c r="AG59" s="10" t="s">
        <v>31</v>
      </c>
    </row>
    <row r="60" spans="1:33" s="10" customFormat="1" ht="12.75" customHeight="1" x14ac:dyDescent="0.2">
      <c r="A60" s="14" t="s">
        <v>35</v>
      </c>
      <c r="B60" s="14"/>
      <c r="C60" s="15">
        <v>42439.404999999999</v>
      </c>
      <c r="D60" s="15"/>
      <c r="E60" s="14">
        <f t="shared" si="6"/>
        <v>1657.9983664582164</v>
      </c>
      <c r="F60" s="14">
        <f t="shared" si="7"/>
        <v>1658</v>
      </c>
      <c r="G60" s="10">
        <f t="shared" si="2"/>
        <v>-8.2477999967522919E-3</v>
      </c>
      <c r="I60" s="10">
        <f t="shared" si="10"/>
        <v>-8.2477999967522919E-3</v>
      </c>
      <c r="O60" s="10">
        <f t="shared" ca="1" si="8"/>
        <v>-3.5264191880136873E-2</v>
      </c>
      <c r="Q60" s="12">
        <f t="shared" si="9"/>
        <v>27420.904999999999</v>
      </c>
      <c r="AB60" s="10" t="s">
        <v>32</v>
      </c>
      <c r="AC60" s="10">
        <v>7</v>
      </c>
      <c r="AE60" s="10" t="s">
        <v>29</v>
      </c>
      <c r="AG60" s="10" t="s">
        <v>31</v>
      </c>
    </row>
    <row r="61" spans="1:33" s="10" customFormat="1" ht="12.75" customHeight="1" x14ac:dyDescent="0.2">
      <c r="A61" s="14" t="s">
        <v>36</v>
      </c>
      <c r="B61" s="14"/>
      <c r="C61" s="15">
        <v>42449.440000000002</v>
      </c>
      <c r="D61" s="15"/>
      <c r="E61" s="14">
        <f t="shared" si="6"/>
        <v>1659.9858772848036</v>
      </c>
      <c r="F61" s="14">
        <f t="shared" si="7"/>
        <v>1660</v>
      </c>
      <c r="G61" s="10">
        <f t="shared" si="2"/>
        <v>-7.1305999998003244E-2</v>
      </c>
      <c r="I61" s="10">
        <f t="shared" si="10"/>
        <v>-7.1305999998003244E-2</v>
      </c>
      <c r="O61" s="10">
        <f t="shared" ca="1" si="8"/>
        <v>-3.5288676603998377E-2</v>
      </c>
      <c r="Q61" s="12">
        <f t="shared" si="9"/>
        <v>27430.940000000002</v>
      </c>
      <c r="AB61" s="10" t="s">
        <v>32</v>
      </c>
      <c r="AC61" s="10">
        <v>4</v>
      </c>
      <c r="AE61" s="10" t="s">
        <v>29</v>
      </c>
      <c r="AG61" s="10" t="s">
        <v>31</v>
      </c>
    </row>
    <row r="62" spans="1:33" s="10" customFormat="1" ht="12.75" customHeight="1" x14ac:dyDescent="0.2">
      <c r="A62" s="14" t="s">
        <v>38</v>
      </c>
      <c r="B62" s="14"/>
      <c r="C62" s="15">
        <v>43575.379000000001</v>
      </c>
      <c r="D62" s="15"/>
      <c r="E62" s="14">
        <f t="shared" si="6"/>
        <v>1882.9869687223629</v>
      </c>
      <c r="F62" s="14">
        <f t="shared" si="7"/>
        <v>1883</v>
      </c>
      <c r="G62" s="10">
        <f t="shared" si="2"/>
        <v>-6.5795299997262191E-2</v>
      </c>
      <c r="I62" s="10">
        <f t="shared" si="10"/>
        <v>-6.5795299997262191E-2</v>
      </c>
      <c r="O62" s="10">
        <f t="shared" ca="1" si="8"/>
        <v>-3.8018723314556087E-2</v>
      </c>
      <c r="Q62" s="12">
        <f t="shared" si="9"/>
        <v>28556.879000000001</v>
      </c>
      <c r="AB62" s="10" t="s">
        <v>32</v>
      </c>
      <c r="AC62" s="10">
        <v>10</v>
      </c>
      <c r="AE62" s="10" t="s">
        <v>37</v>
      </c>
      <c r="AG62" s="10" t="s">
        <v>31</v>
      </c>
    </row>
    <row r="63" spans="1:33" s="10" customFormat="1" ht="12.75" customHeight="1" x14ac:dyDescent="0.2">
      <c r="A63" s="14" t="s">
        <v>39</v>
      </c>
      <c r="B63" s="14"/>
      <c r="C63" s="15">
        <v>44902.601999999999</v>
      </c>
      <c r="D63" s="16" t="s">
        <v>44</v>
      </c>
      <c r="E63" s="14">
        <f t="shared" si="6"/>
        <v>2145.8539424936171</v>
      </c>
      <c r="F63" s="14">
        <f t="shared" si="7"/>
        <v>2146</v>
      </c>
      <c r="O63" s="10">
        <f t="shared" ca="1" si="8"/>
        <v>-4.1238464502343877E-2</v>
      </c>
      <c r="Q63" s="12">
        <f t="shared" si="9"/>
        <v>29884.101999999999</v>
      </c>
      <c r="U63" s="13">
        <v>-0.73744860000442713</v>
      </c>
      <c r="AC63" s="10">
        <v>7</v>
      </c>
      <c r="AE63" s="10" t="s">
        <v>29</v>
      </c>
      <c r="AG63" s="10" t="s">
        <v>31</v>
      </c>
    </row>
    <row r="64" spans="1:33" s="10" customFormat="1" ht="12.75" customHeight="1" x14ac:dyDescent="0.2">
      <c r="A64" s="14" t="s">
        <v>40</v>
      </c>
      <c r="B64" s="14"/>
      <c r="C64" s="15">
        <v>45347.563000000002</v>
      </c>
      <c r="D64" s="15"/>
      <c r="E64" s="14">
        <f t="shared" si="6"/>
        <v>2233.9819748711693</v>
      </c>
      <c r="F64" s="14">
        <f t="shared" si="7"/>
        <v>2234</v>
      </c>
      <c r="G64" s="10">
        <f t="shared" ref="G64:G69" si="11">+C64-(C$7+F64*C$8)</f>
        <v>-9.1009399999165908E-2</v>
      </c>
      <c r="I64" s="10">
        <f>+G64</f>
        <v>-9.1009399999165908E-2</v>
      </c>
      <c r="O64" s="10">
        <f t="shared" ca="1" si="8"/>
        <v>-4.231579235225006E-2</v>
      </c>
      <c r="Q64" s="12">
        <f t="shared" si="9"/>
        <v>30329.063000000002</v>
      </c>
      <c r="AB64" s="10" t="s">
        <v>32</v>
      </c>
      <c r="AC64" s="10">
        <v>8</v>
      </c>
      <c r="AE64" s="10" t="s">
        <v>29</v>
      </c>
      <c r="AG64" s="10" t="s">
        <v>31</v>
      </c>
    </row>
    <row r="65" spans="1:33" s="10" customFormat="1" ht="12.75" customHeight="1" x14ac:dyDescent="0.2">
      <c r="A65" s="14" t="s">
        <v>40</v>
      </c>
      <c r="B65" s="14"/>
      <c r="C65" s="15">
        <v>45352.659</v>
      </c>
      <c r="D65" s="15"/>
      <c r="E65" s="14">
        <f t="shared" si="6"/>
        <v>2234.9912778280482</v>
      </c>
      <c r="F65" s="14">
        <f t="shared" si="7"/>
        <v>2235</v>
      </c>
      <c r="G65" s="10">
        <f t="shared" si="11"/>
        <v>-4.4038499996531755E-2</v>
      </c>
      <c r="I65" s="10">
        <f>+G65</f>
        <v>-4.4038499996531755E-2</v>
      </c>
      <c r="O65" s="10">
        <f t="shared" ca="1" si="8"/>
        <v>-4.2328034714180812E-2</v>
      </c>
      <c r="Q65" s="12">
        <f t="shared" si="9"/>
        <v>30334.159</v>
      </c>
      <c r="AB65" s="10" t="s">
        <v>32</v>
      </c>
      <c r="AC65" s="10">
        <v>9</v>
      </c>
      <c r="AE65" s="10" t="s">
        <v>29</v>
      </c>
      <c r="AG65" s="10" t="s">
        <v>31</v>
      </c>
    </row>
    <row r="66" spans="1:33" s="10" customFormat="1" ht="12.75" customHeight="1" x14ac:dyDescent="0.2">
      <c r="A66" s="14" t="s">
        <v>41</v>
      </c>
      <c r="B66" s="14"/>
      <c r="C66" s="15">
        <v>47912.472999999998</v>
      </c>
      <c r="D66" s="15"/>
      <c r="E66" s="14">
        <f t="shared" si="6"/>
        <v>2741.98261206298</v>
      </c>
      <c r="F66" s="14">
        <f t="shared" si="7"/>
        <v>2742</v>
      </c>
      <c r="G66" s="10">
        <f t="shared" si="11"/>
        <v>-8.7792199999967124E-2</v>
      </c>
      <c r="I66" s="10">
        <f>+G66</f>
        <v>-8.7792199999967124E-2</v>
      </c>
      <c r="O66" s="10">
        <f t="shared" ca="1" si="8"/>
        <v>-4.8534912213072101E-2</v>
      </c>
      <c r="Q66" s="12">
        <f t="shared" si="9"/>
        <v>32893.972999999998</v>
      </c>
      <c r="AB66" s="10" t="s">
        <v>32</v>
      </c>
      <c r="AC66" s="10">
        <v>11</v>
      </c>
      <c r="AE66" s="10" t="s">
        <v>37</v>
      </c>
      <c r="AG66" s="10" t="s">
        <v>31</v>
      </c>
    </row>
    <row r="67" spans="1:33" s="10" customFormat="1" ht="12.75" customHeight="1" x14ac:dyDescent="0.2">
      <c r="A67" s="14" t="s">
        <v>42</v>
      </c>
      <c r="B67" s="14"/>
      <c r="C67" s="15">
        <v>48311.387000000002</v>
      </c>
      <c r="D67" s="15">
        <v>0.01</v>
      </c>
      <c r="E67" s="14">
        <f t="shared" si="6"/>
        <v>2820.9906732365639</v>
      </c>
      <c r="F67" s="14">
        <f t="shared" si="7"/>
        <v>2821</v>
      </c>
      <c r="G67" s="10">
        <f t="shared" si="11"/>
        <v>-4.7091100001125596E-2</v>
      </c>
      <c r="I67" s="10">
        <f>+G67</f>
        <v>-4.7091100001125596E-2</v>
      </c>
      <c r="O67" s="10">
        <f t="shared" ca="1" si="8"/>
        <v>-4.9502058805601518E-2</v>
      </c>
      <c r="Q67" s="12">
        <f t="shared" si="9"/>
        <v>33292.887000000002</v>
      </c>
      <c r="AB67" s="10" t="s">
        <v>32</v>
      </c>
      <c r="AC67" s="10">
        <v>5</v>
      </c>
      <c r="AE67" s="10" t="s">
        <v>29</v>
      </c>
      <c r="AG67" s="10" t="s">
        <v>31</v>
      </c>
    </row>
    <row r="68" spans="1:33" s="10" customFormat="1" ht="12.75" customHeight="1" x14ac:dyDescent="0.2">
      <c r="A68" s="14" t="s">
        <v>43</v>
      </c>
      <c r="B68" s="14"/>
      <c r="C68" s="15">
        <v>49442.337</v>
      </c>
      <c r="D68" s="15"/>
      <c r="E68" s="14">
        <f t="shared" si="6"/>
        <v>3044.9842327111955</v>
      </c>
      <c r="F68" s="14">
        <f t="shared" si="7"/>
        <v>3045</v>
      </c>
      <c r="G68" s="10">
        <f t="shared" si="11"/>
        <v>-7.9609499996877275E-2</v>
      </c>
      <c r="I68" s="10">
        <f>+G68</f>
        <v>-7.9609499996877275E-2</v>
      </c>
      <c r="O68" s="10">
        <f t="shared" ca="1" si="8"/>
        <v>-5.2244347878089972E-2</v>
      </c>
      <c r="Q68" s="12">
        <f t="shared" si="9"/>
        <v>34423.837</v>
      </c>
      <c r="AB68" s="10" t="s">
        <v>32</v>
      </c>
      <c r="AC68" s="10">
        <v>10</v>
      </c>
      <c r="AE68" s="10" t="s">
        <v>37</v>
      </c>
      <c r="AG68" s="10" t="s">
        <v>31</v>
      </c>
    </row>
    <row r="69" spans="1:33" s="10" customFormat="1" ht="12.75" customHeight="1" x14ac:dyDescent="0.2">
      <c r="A69" s="52" t="s">
        <v>49</v>
      </c>
      <c r="B69" s="53" t="s">
        <v>50</v>
      </c>
      <c r="C69" s="52">
        <v>54506.52</v>
      </c>
      <c r="D69" s="52">
        <v>5.0000000000000001E-4</v>
      </c>
      <c r="E69" s="14">
        <f t="shared" si="6"/>
        <v>4047.9855820201146</v>
      </c>
      <c r="F69" s="14">
        <f t="shared" si="7"/>
        <v>4048</v>
      </c>
      <c r="G69" s="10">
        <f t="shared" si="11"/>
        <v>-7.279680000647204E-2</v>
      </c>
      <c r="J69" s="10">
        <f>+G69</f>
        <v>-7.279680000647204E-2</v>
      </c>
      <c r="O69" s="10">
        <f t="shared" ca="1" si="8"/>
        <v>-6.4523436894634301E-2</v>
      </c>
      <c r="Q69" s="12">
        <f t="shared" si="9"/>
        <v>39488.019999999997</v>
      </c>
    </row>
    <row r="70" spans="1:33" s="10" customFormat="1" ht="12.75" customHeight="1" x14ac:dyDescent="0.2">
      <c r="A70" s="54" t="s">
        <v>0</v>
      </c>
      <c r="B70" s="55" t="s">
        <v>50</v>
      </c>
      <c r="C70" s="56">
        <v>57798.486299999997</v>
      </c>
      <c r="D70" s="56">
        <v>2.2000000000000001E-3</v>
      </c>
      <c r="E70" s="14">
        <f>+(C70-C$7)/C$8</f>
        <v>4699.9854486875502</v>
      </c>
      <c r="F70" s="14">
        <f t="shared" si="7"/>
        <v>4700</v>
      </c>
      <c r="G70" s="10">
        <f>+C70-(C$7+F70*C$8)</f>
        <v>-7.3470000002998859E-2</v>
      </c>
      <c r="K70" s="10">
        <f>+G70</f>
        <v>-7.3470000002998859E-2</v>
      </c>
      <c r="O70" s="10">
        <f ca="1">+C$11+C$12*$F70</f>
        <v>-7.2505456873484642E-2</v>
      </c>
      <c r="Q70" s="12">
        <f>+C70-15018.5</f>
        <v>42779.986299999997</v>
      </c>
    </row>
    <row r="71" spans="1:33" s="10" customFormat="1" ht="12.75" customHeight="1" x14ac:dyDescent="0.2">
      <c r="A71" s="57" t="s">
        <v>241</v>
      </c>
      <c r="B71" s="58" t="s">
        <v>50</v>
      </c>
      <c r="C71" s="59">
        <v>58954.713600000003</v>
      </c>
      <c r="D71" s="59">
        <v>1.1000000000000001E-3</v>
      </c>
      <c r="E71" s="14">
        <f>+(C71-C$7)/C$8</f>
        <v>4928.9853766142887</v>
      </c>
      <c r="F71" s="14">
        <f>ROUND(2*E71,0)/2</f>
        <v>4929</v>
      </c>
      <c r="G71" s="10">
        <f>+C71-(C$7+F71*C$8)</f>
        <v>-7.3833899994497187E-2</v>
      </c>
      <c r="K71" s="10">
        <f>+G71</f>
        <v>-7.3833899994497187E-2</v>
      </c>
      <c r="O71" s="10">
        <f ca="1">+C$11+C$12*$F71</f>
        <v>-7.5308957755626862E-2</v>
      </c>
      <c r="Q71" s="12">
        <f>+C71-15018.5</f>
        <v>43936.213600000003</v>
      </c>
    </row>
    <row r="72" spans="1:33" s="10" customFormat="1" ht="12.75" customHeight="1" x14ac:dyDescent="0.2">
      <c r="A72" s="60" t="s">
        <v>242</v>
      </c>
      <c r="B72" s="60" t="s">
        <v>50</v>
      </c>
      <c r="C72" s="61">
        <v>59964.532000000123</v>
      </c>
      <c r="D72" s="62">
        <v>6.0000000000000001E-3</v>
      </c>
      <c r="E72" s="14">
        <f>+(C72-C$7)/C$8</f>
        <v>5128.9878681824439</v>
      </c>
      <c r="F72" s="14">
        <f>ROUND(2*E72,0)/2</f>
        <v>5129</v>
      </c>
      <c r="G72" s="10">
        <f>+C72-(C$7+F72*C$8)</f>
        <v>-6.1253899883013219E-2</v>
      </c>
      <c r="K72" s="10">
        <f>+G72</f>
        <v>-6.1253899883013219E-2</v>
      </c>
      <c r="O72" s="10">
        <f ca="1">+C$11+C$12*$F72</f>
        <v>-7.7757430141777273E-2</v>
      </c>
      <c r="Q72" s="12">
        <f>+C72-15018.5</f>
        <v>44946.032000000123</v>
      </c>
    </row>
    <row r="73" spans="1:33" s="10" customFormat="1" ht="12.75" customHeight="1" x14ac:dyDescent="0.2">
      <c r="B73" s="50"/>
      <c r="C73" s="11"/>
      <c r="D73" s="11"/>
    </row>
    <row r="74" spans="1:33" s="10" customFormat="1" ht="12.75" customHeight="1" x14ac:dyDescent="0.2">
      <c r="B74" s="50"/>
      <c r="C74" s="11"/>
      <c r="D74" s="11"/>
    </row>
    <row r="75" spans="1:33" s="10" customFormat="1" ht="12.75" customHeight="1" x14ac:dyDescent="0.2">
      <c r="B75" s="50"/>
      <c r="C75" s="11"/>
      <c r="D75" s="11"/>
    </row>
    <row r="76" spans="1:33" s="10" customFormat="1" ht="12.75" customHeight="1" x14ac:dyDescent="0.2">
      <c r="B76" s="50"/>
      <c r="C76" s="11"/>
      <c r="D76" s="11"/>
    </row>
    <row r="77" spans="1:33" s="10" customFormat="1" ht="12.75" customHeight="1" x14ac:dyDescent="0.2">
      <c r="B77" s="50"/>
      <c r="C77" s="11"/>
      <c r="D77" s="11"/>
    </row>
    <row r="78" spans="1:33" s="10" customFormat="1" ht="12.75" customHeight="1" x14ac:dyDescent="0.2">
      <c r="B78" s="50"/>
      <c r="C78" s="11"/>
      <c r="D78" s="11"/>
    </row>
    <row r="79" spans="1:33" s="10" customFormat="1" ht="12.75" customHeight="1" x14ac:dyDescent="0.2">
      <c r="B79" s="50"/>
      <c r="C79" s="11"/>
      <c r="D79" s="11"/>
    </row>
    <row r="80" spans="1:33" s="10" customFormat="1" ht="12.75" customHeight="1" x14ac:dyDescent="0.2">
      <c r="B80" s="50"/>
      <c r="C80" s="11"/>
      <c r="D80" s="11"/>
    </row>
    <row r="81" spans="2:4" s="10" customFormat="1" ht="12.75" customHeight="1" x14ac:dyDescent="0.2">
      <c r="B81" s="50"/>
      <c r="C81" s="11"/>
      <c r="D81" s="11"/>
    </row>
    <row r="82" spans="2:4" s="10" customFormat="1" ht="12.75" customHeight="1" x14ac:dyDescent="0.2">
      <c r="B82" s="50"/>
      <c r="C82" s="11"/>
      <c r="D82" s="11"/>
    </row>
    <row r="83" spans="2:4" s="10" customFormat="1" ht="12.75" customHeight="1" x14ac:dyDescent="0.2">
      <c r="B83" s="50"/>
      <c r="C83" s="11"/>
      <c r="D83" s="11"/>
    </row>
    <row r="84" spans="2:4" x14ac:dyDescent="0.2">
      <c r="B84" s="20"/>
      <c r="C84" s="9"/>
      <c r="D84" s="9"/>
    </row>
    <row r="85" spans="2:4" x14ac:dyDescent="0.2">
      <c r="B85" s="20"/>
      <c r="C85" s="9"/>
      <c r="D85" s="9"/>
    </row>
    <row r="86" spans="2:4" x14ac:dyDescent="0.2">
      <c r="B86" s="20"/>
      <c r="C86" s="9"/>
      <c r="D86" s="9"/>
    </row>
    <row r="87" spans="2:4" x14ac:dyDescent="0.2">
      <c r="B87" s="20"/>
      <c r="C87" s="9"/>
      <c r="D87" s="9"/>
    </row>
    <row r="88" spans="2:4" x14ac:dyDescent="0.2">
      <c r="B88" s="20"/>
      <c r="C88" s="9"/>
      <c r="D88" s="9"/>
    </row>
    <row r="89" spans="2:4" x14ac:dyDescent="0.2">
      <c r="B89" s="20"/>
      <c r="C89" s="9"/>
      <c r="D89" s="9"/>
    </row>
    <row r="90" spans="2:4" x14ac:dyDescent="0.2">
      <c r="B90" s="20"/>
      <c r="C90" s="9"/>
      <c r="D90" s="9"/>
    </row>
    <row r="91" spans="2:4" x14ac:dyDescent="0.2">
      <c r="B91" s="20"/>
      <c r="C91" s="9"/>
      <c r="D91" s="9"/>
    </row>
    <row r="92" spans="2:4" x14ac:dyDescent="0.2">
      <c r="B92" s="20"/>
      <c r="C92" s="9"/>
      <c r="D92" s="9"/>
    </row>
    <row r="93" spans="2:4" x14ac:dyDescent="0.2">
      <c r="B93" s="20"/>
      <c r="C93" s="9"/>
      <c r="D93" s="9"/>
    </row>
    <row r="94" spans="2:4" x14ac:dyDescent="0.2">
      <c r="C94" s="9"/>
      <c r="D94" s="9"/>
    </row>
    <row r="95" spans="2:4" x14ac:dyDescent="0.2">
      <c r="C95" s="9"/>
      <c r="D95" s="9"/>
    </row>
    <row r="96" spans="2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</sheetData>
  <protectedRanges>
    <protectedRange sqref="A71:D71" name="Range1"/>
  </protectedRanges>
  <phoneticPr fontId="8" type="noConversion"/>
  <hyperlinks>
    <hyperlink ref="H63729" r:id="rId1" display="http://vsolj.cetus-net.org/bulletin.html" xr:uid="{00000000-0004-0000-0000-000000000000}"/>
    <hyperlink ref="H63722" r:id="rId2" display="https://www.aavso.org/ejaavso" xr:uid="{00000000-0004-0000-0000-000001000000}"/>
    <hyperlink ref="I63729" r:id="rId3" display="http://vsolj.cetus-net.org/bulletin.html" xr:uid="{00000000-0004-0000-0000-000002000000}"/>
    <hyperlink ref="AQ57380" r:id="rId4" display="http://cdsbib.u-strasbg.fr/cgi-bin/cdsbib?1990RMxAA..21..381G" xr:uid="{00000000-0004-0000-0000-000003000000}"/>
    <hyperlink ref="H63726" r:id="rId5" display="https://www.aavso.org/ejaavso" xr:uid="{00000000-0004-0000-0000-000004000000}"/>
    <hyperlink ref="AP4744" r:id="rId6" display="http://cdsbib.u-strasbg.fr/cgi-bin/cdsbib?1990RMxAA..21..381G" xr:uid="{00000000-0004-0000-0000-000005000000}"/>
    <hyperlink ref="AP4747" r:id="rId7" display="http://cdsbib.u-strasbg.fr/cgi-bin/cdsbib?1990RMxAA..21..381G" xr:uid="{00000000-0004-0000-0000-000006000000}"/>
    <hyperlink ref="AP4745" r:id="rId8" display="http://cdsbib.u-strasbg.fr/cgi-bin/cdsbib?1990RMxAA..21..381G" xr:uid="{00000000-0004-0000-0000-000007000000}"/>
    <hyperlink ref="AP4729" r:id="rId9" display="http://cdsbib.u-strasbg.fr/cgi-bin/cdsbib?1990RMxAA..21..381G" xr:uid="{00000000-0004-0000-0000-000008000000}"/>
    <hyperlink ref="AQ4958" r:id="rId10" display="http://cdsbib.u-strasbg.fr/cgi-bin/cdsbib?1990RMxAA..21..381G" xr:uid="{00000000-0004-0000-0000-000009000000}"/>
    <hyperlink ref="AQ4962" r:id="rId11" display="http://cdsbib.u-strasbg.fr/cgi-bin/cdsbib?1990RMxAA..21..381G" xr:uid="{00000000-0004-0000-0000-00000A000000}"/>
    <hyperlink ref="AQ64642" r:id="rId12" display="http://cdsbib.u-strasbg.fr/cgi-bin/cdsbib?1990RMxAA..21..381G" xr:uid="{00000000-0004-0000-0000-00000B000000}"/>
    <hyperlink ref="I1850" r:id="rId13" display="http://vsolj.cetus-net.org/bulletin.html" xr:uid="{00000000-0004-0000-0000-00000C000000}"/>
    <hyperlink ref="H1850" r:id="rId14" display="http://vsolj.cetus-net.org/bulletin.html" xr:uid="{00000000-0004-0000-0000-00000D000000}"/>
    <hyperlink ref="AQ65303" r:id="rId15" display="http://cdsbib.u-strasbg.fr/cgi-bin/cdsbib?1990RMxAA..21..381G" xr:uid="{00000000-0004-0000-0000-00000E000000}"/>
    <hyperlink ref="AQ65302" r:id="rId16" display="http://cdsbib.u-strasbg.fr/cgi-bin/cdsbib?1990RMxAA..21..381G" xr:uid="{00000000-0004-0000-0000-00000F000000}"/>
    <hyperlink ref="AP3020" r:id="rId17" display="http://cdsbib.u-strasbg.fr/cgi-bin/cdsbib?1990RMxAA..21..381G" xr:uid="{00000000-0004-0000-0000-000010000000}"/>
    <hyperlink ref="AP3038" r:id="rId18" display="http://cdsbib.u-strasbg.fr/cgi-bin/cdsbib?1990RMxAA..21..381G" xr:uid="{00000000-0004-0000-0000-000011000000}"/>
    <hyperlink ref="AP3039" r:id="rId19" display="http://cdsbib.u-strasbg.fr/cgi-bin/cdsbib?1990RMxAA..21..381G" xr:uid="{00000000-0004-0000-0000-000012000000}"/>
    <hyperlink ref="AP303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2"/>
  <sheetViews>
    <sheetView topLeftCell="A10" workbookViewId="0">
      <selection activeCell="A23" sqref="A23:C57"/>
    </sheetView>
  </sheetViews>
  <sheetFormatPr defaultRowHeight="12.75" x14ac:dyDescent="0.2"/>
  <cols>
    <col min="1" max="1" width="19.7109375" style="9" customWidth="1"/>
    <col min="2" max="2" width="4.42578125" style="8" customWidth="1"/>
    <col min="3" max="3" width="12.7109375" style="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34" t="s">
        <v>57</v>
      </c>
      <c r="I1" s="35" t="s">
        <v>58</v>
      </c>
      <c r="J1" s="36" t="s">
        <v>59</v>
      </c>
    </row>
    <row r="2" spans="1:16" x14ac:dyDescent="0.2">
      <c r="I2" s="37" t="s">
        <v>60</v>
      </c>
      <c r="J2" s="38" t="s">
        <v>61</v>
      </c>
    </row>
    <row r="3" spans="1:16" x14ac:dyDescent="0.2">
      <c r="A3" s="39" t="s">
        <v>62</v>
      </c>
      <c r="I3" s="37" t="s">
        <v>63</v>
      </c>
      <c r="J3" s="38" t="s">
        <v>64</v>
      </c>
    </row>
    <row r="4" spans="1:16" x14ac:dyDescent="0.2">
      <c r="I4" s="37" t="s">
        <v>65</v>
      </c>
      <c r="J4" s="38" t="s">
        <v>64</v>
      </c>
    </row>
    <row r="5" spans="1:16" ht="13.5" thickBot="1" x14ac:dyDescent="0.25">
      <c r="I5" s="40" t="s">
        <v>66</v>
      </c>
      <c r="J5" s="41" t="s">
        <v>67</v>
      </c>
    </row>
    <row r="10" spans="1:16" ht="13.5" thickBot="1" x14ac:dyDescent="0.25"/>
    <row r="11" spans="1:16" ht="12.75" customHeight="1" thickBot="1" x14ac:dyDescent="0.25">
      <c r="A11" s="9" t="str">
        <f t="shared" ref="A11:A57" si="0">P11</f>
        <v> BBS 1 </v>
      </c>
      <c r="B11" s="20" t="str">
        <f t="shared" ref="B11:B57" si="1">IF(H11=INT(H11),"I","II")</f>
        <v>I</v>
      </c>
      <c r="C11" s="9">
        <f t="shared" ref="C11:C57" si="2">1*G11</f>
        <v>41308.432999999997</v>
      </c>
      <c r="D11" s="8" t="str">
        <f t="shared" ref="D11:D57" si="3">VLOOKUP(F11,I$1:J$5,2,FALSE)</f>
        <v>vis</v>
      </c>
      <c r="E11" s="42">
        <f>VLOOKUP(C11,Active!C$21:E$973,3,FALSE)</f>
        <v>1434.000449710222</v>
      </c>
      <c r="F11" s="20" t="s">
        <v>66</v>
      </c>
      <c r="G11" s="8" t="str">
        <f t="shared" ref="G11:G57" si="4">MID(I11,3,LEN(I11)-3)</f>
        <v>41308.433</v>
      </c>
      <c r="H11" s="9">
        <f t="shared" ref="H11:H57" si="5">1*K11</f>
        <v>1434</v>
      </c>
      <c r="I11" s="43" t="s">
        <v>192</v>
      </c>
      <c r="J11" s="44" t="s">
        <v>193</v>
      </c>
      <c r="K11" s="43">
        <v>1434</v>
      </c>
      <c r="L11" s="43" t="s">
        <v>149</v>
      </c>
      <c r="M11" s="44" t="s">
        <v>118</v>
      </c>
      <c r="N11" s="44"/>
      <c r="O11" s="45" t="s">
        <v>194</v>
      </c>
      <c r="P11" s="45" t="s">
        <v>195</v>
      </c>
    </row>
    <row r="12" spans="1:16" ht="12.75" customHeight="1" thickBot="1" x14ac:dyDescent="0.25">
      <c r="A12" s="9" t="str">
        <f t="shared" si="0"/>
        <v> BBS 7 </v>
      </c>
      <c r="B12" s="20" t="str">
        <f t="shared" si="1"/>
        <v>I</v>
      </c>
      <c r="C12" s="9">
        <f t="shared" si="2"/>
        <v>41707.311999999998</v>
      </c>
      <c r="D12" s="8" t="str">
        <f t="shared" si="3"/>
        <v>vis</v>
      </c>
      <c r="E12" s="42">
        <f>VLOOKUP(C12,Active!C$21:E$973,3,FALSE)</f>
        <v>1513.0015788580022</v>
      </c>
      <c r="F12" s="20" t="s">
        <v>66</v>
      </c>
      <c r="G12" s="8" t="str">
        <f t="shared" si="4"/>
        <v>41707.312</v>
      </c>
      <c r="H12" s="9">
        <f t="shared" si="5"/>
        <v>1513</v>
      </c>
      <c r="I12" s="43" t="s">
        <v>196</v>
      </c>
      <c r="J12" s="44" t="s">
        <v>197</v>
      </c>
      <c r="K12" s="43">
        <v>1513</v>
      </c>
      <c r="L12" s="43" t="s">
        <v>198</v>
      </c>
      <c r="M12" s="44" t="s">
        <v>118</v>
      </c>
      <c r="N12" s="44"/>
      <c r="O12" s="45" t="s">
        <v>194</v>
      </c>
      <c r="P12" s="45" t="s">
        <v>199</v>
      </c>
    </row>
    <row r="13" spans="1:16" ht="12.75" customHeight="1" thickBot="1" x14ac:dyDescent="0.25">
      <c r="A13" s="9" t="str">
        <f t="shared" si="0"/>
        <v> BBS 14 </v>
      </c>
      <c r="B13" s="20" t="str">
        <f t="shared" si="1"/>
        <v>I</v>
      </c>
      <c r="C13" s="9">
        <f t="shared" si="2"/>
        <v>42116.284</v>
      </c>
      <c r="D13" s="8" t="str">
        <f t="shared" si="3"/>
        <v>vis</v>
      </c>
      <c r="E13" s="42">
        <f>VLOOKUP(C13,Active!C$21:E$973,3,FALSE)</f>
        <v>1594.0017061894137</v>
      </c>
      <c r="F13" s="20" t="s">
        <v>66</v>
      </c>
      <c r="G13" s="8" t="str">
        <f t="shared" si="4"/>
        <v>42116.284</v>
      </c>
      <c r="H13" s="9">
        <f t="shared" si="5"/>
        <v>1594</v>
      </c>
      <c r="I13" s="43" t="s">
        <v>200</v>
      </c>
      <c r="J13" s="44" t="s">
        <v>201</v>
      </c>
      <c r="K13" s="43">
        <v>1594</v>
      </c>
      <c r="L13" s="43" t="s">
        <v>202</v>
      </c>
      <c r="M13" s="44" t="s">
        <v>118</v>
      </c>
      <c r="N13" s="44"/>
      <c r="O13" s="45" t="s">
        <v>194</v>
      </c>
      <c r="P13" s="45" t="s">
        <v>203</v>
      </c>
    </row>
    <row r="14" spans="1:16" ht="12.75" customHeight="1" thickBot="1" x14ac:dyDescent="0.25">
      <c r="A14" s="9" t="str">
        <f t="shared" si="0"/>
        <v> BBS 20 </v>
      </c>
      <c r="B14" s="20" t="str">
        <f t="shared" si="1"/>
        <v>I</v>
      </c>
      <c r="C14" s="9">
        <f t="shared" si="2"/>
        <v>42439.404999999999</v>
      </c>
      <c r="D14" s="8" t="str">
        <f t="shared" si="3"/>
        <v>vis</v>
      </c>
      <c r="E14" s="42">
        <f>VLOOKUP(C14,Active!C$21:E$973,3,FALSE)</f>
        <v>1657.9983664582164</v>
      </c>
      <c r="F14" s="20" t="s">
        <v>66</v>
      </c>
      <c r="G14" s="8" t="str">
        <f t="shared" si="4"/>
        <v>42439.405</v>
      </c>
      <c r="H14" s="9">
        <f t="shared" si="5"/>
        <v>1658</v>
      </c>
      <c r="I14" s="43" t="s">
        <v>204</v>
      </c>
      <c r="J14" s="44" t="s">
        <v>205</v>
      </c>
      <c r="K14" s="43">
        <v>1658</v>
      </c>
      <c r="L14" s="43" t="s">
        <v>117</v>
      </c>
      <c r="M14" s="44" t="s">
        <v>118</v>
      </c>
      <c r="N14" s="44"/>
      <c r="O14" s="45" t="s">
        <v>194</v>
      </c>
      <c r="P14" s="45" t="s">
        <v>206</v>
      </c>
    </row>
    <row r="15" spans="1:16" ht="12.75" customHeight="1" thickBot="1" x14ac:dyDescent="0.25">
      <c r="A15" s="9" t="str">
        <f t="shared" si="0"/>
        <v> BBS 21 </v>
      </c>
      <c r="B15" s="20" t="str">
        <f t="shared" si="1"/>
        <v>I</v>
      </c>
      <c r="C15" s="9">
        <f t="shared" si="2"/>
        <v>42449.440000000002</v>
      </c>
      <c r="D15" s="8" t="str">
        <f t="shared" si="3"/>
        <v>vis</v>
      </c>
      <c r="E15" s="42">
        <f>VLOOKUP(C15,Active!C$21:E$973,3,FALSE)</f>
        <v>1659.9858772848036</v>
      </c>
      <c r="F15" s="20" t="s">
        <v>66</v>
      </c>
      <c r="G15" s="8" t="str">
        <f t="shared" si="4"/>
        <v>42449.440</v>
      </c>
      <c r="H15" s="9">
        <f t="shared" si="5"/>
        <v>1660</v>
      </c>
      <c r="I15" s="43" t="s">
        <v>207</v>
      </c>
      <c r="J15" s="44" t="s">
        <v>208</v>
      </c>
      <c r="K15" s="43">
        <v>1660</v>
      </c>
      <c r="L15" s="43" t="s">
        <v>209</v>
      </c>
      <c r="M15" s="44" t="s">
        <v>118</v>
      </c>
      <c r="N15" s="44"/>
      <c r="O15" s="45" t="s">
        <v>194</v>
      </c>
      <c r="P15" s="45" t="s">
        <v>210</v>
      </c>
    </row>
    <row r="16" spans="1:16" ht="12.75" customHeight="1" thickBot="1" x14ac:dyDescent="0.25">
      <c r="A16" s="9" t="str">
        <f t="shared" si="0"/>
        <v> BBS 37 </v>
      </c>
      <c r="B16" s="20" t="str">
        <f t="shared" si="1"/>
        <v>I</v>
      </c>
      <c r="C16" s="9">
        <f t="shared" si="2"/>
        <v>43575.379000000001</v>
      </c>
      <c r="D16" s="8" t="str">
        <f t="shared" si="3"/>
        <v>vis</v>
      </c>
      <c r="E16" s="42">
        <f>VLOOKUP(C16,Active!C$21:E$973,3,FALSE)</f>
        <v>1882.9869687223629</v>
      </c>
      <c r="F16" s="20" t="s">
        <v>66</v>
      </c>
      <c r="G16" s="8" t="str">
        <f t="shared" si="4"/>
        <v>43575.379</v>
      </c>
      <c r="H16" s="9">
        <f t="shared" si="5"/>
        <v>1883</v>
      </c>
      <c r="I16" s="43" t="s">
        <v>211</v>
      </c>
      <c r="J16" s="44" t="s">
        <v>212</v>
      </c>
      <c r="K16" s="43">
        <v>1883</v>
      </c>
      <c r="L16" s="43" t="s">
        <v>213</v>
      </c>
      <c r="M16" s="44" t="s">
        <v>118</v>
      </c>
      <c r="N16" s="44"/>
      <c r="O16" s="45" t="s">
        <v>214</v>
      </c>
      <c r="P16" s="45" t="s">
        <v>215</v>
      </c>
    </row>
    <row r="17" spans="1:16" ht="12.75" customHeight="1" thickBot="1" x14ac:dyDescent="0.25">
      <c r="A17" s="9" t="str">
        <f t="shared" si="0"/>
        <v> BBS 64 </v>
      </c>
      <c r="B17" s="20" t="str">
        <f t="shared" si="1"/>
        <v>I</v>
      </c>
      <c r="C17" s="9">
        <f t="shared" si="2"/>
        <v>45347.563000000002</v>
      </c>
      <c r="D17" s="8" t="str">
        <f t="shared" si="3"/>
        <v>vis</v>
      </c>
      <c r="E17" s="42">
        <f>VLOOKUP(C17,Active!C$21:E$973,3,FALSE)</f>
        <v>2233.9819748711693</v>
      </c>
      <c r="F17" s="20" t="s">
        <v>66</v>
      </c>
      <c r="G17" s="8" t="str">
        <f t="shared" si="4"/>
        <v>45347.563</v>
      </c>
      <c r="H17" s="9">
        <f t="shared" si="5"/>
        <v>2234</v>
      </c>
      <c r="I17" s="43" t="s">
        <v>216</v>
      </c>
      <c r="J17" s="44" t="s">
        <v>217</v>
      </c>
      <c r="K17" s="43">
        <v>2234</v>
      </c>
      <c r="L17" s="43" t="s">
        <v>218</v>
      </c>
      <c r="M17" s="44" t="s">
        <v>118</v>
      </c>
      <c r="N17" s="44"/>
      <c r="O17" s="45" t="s">
        <v>194</v>
      </c>
      <c r="P17" s="45" t="s">
        <v>219</v>
      </c>
    </row>
    <row r="18" spans="1:16" ht="12.75" customHeight="1" thickBot="1" x14ac:dyDescent="0.25">
      <c r="A18" s="9" t="str">
        <f t="shared" si="0"/>
        <v> BBS 64 </v>
      </c>
      <c r="B18" s="20" t="str">
        <f t="shared" si="1"/>
        <v>I</v>
      </c>
      <c r="C18" s="9">
        <f t="shared" si="2"/>
        <v>45352.659</v>
      </c>
      <c r="D18" s="8" t="str">
        <f t="shared" si="3"/>
        <v>vis</v>
      </c>
      <c r="E18" s="42">
        <f>VLOOKUP(C18,Active!C$21:E$973,3,FALSE)</f>
        <v>2234.9912778280482</v>
      </c>
      <c r="F18" s="20" t="s">
        <v>66</v>
      </c>
      <c r="G18" s="8" t="str">
        <f t="shared" si="4"/>
        <v>45352.659</v>
      </c>
      <c r="H18" s="9">
        <f t="shared" si="5"/>
        <v>2235</v>
      </c>
      <c r="I18" s="43" t="s">
        <v>220</v>
      </c>
      <c r="J18" s="44" t="s">
        <v>221</v>
      </c>
      <c r="K18" s="43">
        <v>2235</v>
      </c>
      <c r="L18" s="43" t="s">
        <v>222</v>
      </c>
      <c r="M18" s="44" t="s">
        <v>118</v>
      </c>
      <c r="N18" s="44"/>
      <c r="O18" s="45" t="s">
        <v>194</v>
      </c>
      <c r="P18" s="45" t="s">
        <v>219</v>
      </c>
    </row>
    <row r="19" spans="1:16" ht="12.75" customHeight="1" thickBot="1" x14ac:dyDescent="0.25">
      <c r="A19" s="9" t="str">
        <f t="shared" si="0"/>
        <v> BBS 94 </v>
      </c>
      <c r="B19" s="20" t="str">
        <f t="shared" si="1"/>
        <v>I</v>
      </c>
      <c r="C19" s="9">
        <f t="shared" si="2"/>
        <v>47912.472999999998</v>
      </c>
      <c r="D19" s="8" t="str">
        <f t="shared" si="3"/>
        <v>vis</v>
      </c>
      <c r="E19" s="42">
        <f>VLOOKUP(C19,Active!C$21:E$973,3,FALSE)</f>
        <v>2741.98261206298</v>
      </c>
      <c r="F19" s="20" t="s">
        <v>66</v>
      </c>
      <c r="G19" s="8" t="str">
        <f t="shared" si="4"/>
        <v>47912.473</v>
      </c>
      <c r="H19" s="9">
        <f t="shared" si="5"/>
        <v>2742</v>
      </c>
      <c r="I19" s="43" t="s">
        <v>223</v>
      </c>
      <c r="J19" s="44" t="s">
        <v>224</v>
      </c>
      <c r="K19" s="43">
        <v>2742</v>
      </c>
      <c r="L19" s="43" t="s">
        <v>111</v>
      </c>
      <c r="M19" s="44" t="s">
        <v>118</v>
      </c>
      <c r="N19" s="44"/>
      <c r="O19" s="45" t="s">
        <v>214</v>
      </c>
      <c r="P19" s="45" t="s">
        <v>225</v>
      </c>
    </row>
    <row r="20" spans="1:16" ht="12.75" customHeight="1" thickBot="1" x14ac:dyDescent="0.25">
      <c r="A20" s="9" t="str">
        <f t="shared" si="0"/>
        <v> BBS 97 </v>
      </c>
      <c r="B20" s="20" t="str">
        <f t="shared" si="1"/>
        <v>I</v>
      </c>
      <c r="C20" s="9">
        <f t="shared" si="2"/>
        <v>48311.387000000002</v>
      </c>
      <c r="D20" s="8" t="str">
        <f t="shared" si="3"/>
        <v>vis</v>
      </c>
      <c r="E20" s="42">
        <f>VLOOKUP(C20,Active!C$21:E$973,3,FALSE)</f>
        <v>2820.9906732365639</v>
      </c>
      <c r="F20" s="20" t="s">
        <v>66</v>
      </c>
      <c r="G20" s="8" t="str">
        <f t="shared" si="4"/>
        <v>48311.387</v>
      </c>
      <c r="H20" s="9">
        <f t="shared" si="5"/>
        <v>2821</v>
      </c>
      <c r="I20" s="43" t="s">
        <v>226</v>
      </c>
      <c r="J20" s="44" t="s">
        <v>227</v>
      </c>
      <c r="K20" s="43">
        <v>2821</v>
      </c>
      <c r="L20" s="43" t="s">
        <v>228</v>
      </c>
      <c r="M20" s="44" t="s">
        <v>118</v>
      </c>
      <c r="N20" s="44"/>
      <c r="O20" s="45" t="s">
        <v>194</v>
      </c>
      <c r="P20" s="45" t="s">
        <v>229</v>
      </c>
    </row>
    <row r="21" spans="1:16" ht="12.75" customHeight="1" thickBot="1" x14ac:dyDescent="0.25">
      <c r="A21" s="9" t="str">
        <f t="shared" si="0"/>
        <v> BBS 106 </v>
      </c>
      <c r="B21" s="20" t="str">
        <f t="shared" si="1"/>
        <v>I</v>
      </c>
      <c r="C21" s="9">
        <f t="shared" si="2"/>
        <v>49442.337</v>
      </c>
      <c r="D21" s="8" t="str">
        <f t="shared" si="3"/>
        <v>vis</v>
      </c>
      <c r="E21" s="42">
        <f>VLOOKUP(C21,Active!C$21:E$973,3,FALSE)</f>
        <v>3044.9842327111955</v>
      </c>
      <c r="F21" s="20" t="s">
        <v>66</v>
      </c>
      <c r="G21" s="8" t="str">
        <f t="shared" si="4"/>
        <v>49442.337</v>
      </c>
      <c r="H21" s="9">
        <f t="shared" si="5"/>
        <v>3045</v>
      </c>
      <c r="I21" s="43" t="s">
        <v>230</v>
      </c>
      <c r="J21" s="44" t="s">
        <v>231</v>
      </c>
      <c r="K21" s="43">
        <v>3045</v>
      </c>
      <c r="L21" s="43" t="s">
        <v>232</v>
      </c>
      <c r="M21" s="44" t="s">
        <v>118</v>
      </c>
      <c r="N21" s="44"/>
      <c r="O21" s="45" t="s">
        <v>214</v>
      </c>
      <c r="P21" s="45" t="s">
        <v>233</v>
      </c>
    </row>
    <row r="22" spans="1:16" ht="12.75" customHeight="1" thickBot="1" x14ac:dyDescent="0.25">
      <c r="A22" s="9" t="str">
        <f t="shared" si="0"/>
        <v>BAVM 201 </v>
      </c>
      <c r="B22" s="20" t="str">
        <f t="shared" si="1"/>
        <v>I</v>
      </c>
      <c r="C22" s="9">
        <f t="shared" si="2"/>
        <v>54506.52</v>
      </c>
      <c r="D22" s="8" t="str">
        <f t="shared" si="3"/>
        <v>vis</v>
      </c>
      <c r="E22" s="42">
        <f>VLOOKUP(C22,Active!C$21:E$973,3,FALSE)</f>
        <v>4047.9855820201146</v>
      </c>
      <c r="F22" s="20" t="s">
        <v>66</v>
      </c>
      <c r="G22" s="8" t="str">
        <f t="shared" si="4"/>
        <v>54506.5200</v>
      </c>
      <c r="H22" s="9">
        <f t="shared" si="5"/>
        <v>4048</v>
      </c>
      <c r="I22" s="43" t="s">
        <v>234</v>
      </c>
      <c r="J22" s="44" t="s">
        <v>235</v>
      </c>
      <c r="K22" s="43">
        <v>4048</v>
      </c>
      <c r="L22" s="43" t="s">
        <v>236</v>
      </c>
      <c r="M22" s="44" t="s">
        <v>237</v>
      </c>
      <c r="N22" s="44" t="s">
        <v>66</v>
      </c>
      <c r="O22" s="45" t="s">
        <v>238</v>
      </c>
      <c r="P22" s="46" t="s">
        <v>239</v>
      </c>
    </row>
    <row r="23" spans="1:16" ht="12.75" customHeight="1" thickBot="1" x14ac:dyDescent="0.25">
      <c r="A23" s="9" t="str">
        <f t="shared" si="0"/>
        <v> BAN 4.153 </v>
      </c>
      <c r="B23" s="20" t="str">
        <f t="shared" si="1"/>
        <v>I</v>
      </c>
      <c r="C23" s="9">
        <f t="shared" si="2"/>
        <v>15886.514999999999</v>
      </c>
      <c r="D23" s="8" t="str">
        <f t="shared" si="3"/>
        <v>vis</v>
      </c>
      <c r="E23" s="42">
        <f>VLOOKUP(C23,Active!C$21:E$973,3,FALSE)</f>
        <v>-3601.0107368959311</v>
      </c>
      <c r="F23" s="20" t="s">
        <v>66</v>
      </c>
      <c r="G23" s="8" t="str">
        <f t="shared" si="4"/>
        <v>15886.515</v>
      </c>
      <c r="H23" s="9">
        <f t="shared" si="5"/>
        <v>-3601</v>
      </c>
      <c r="I23" s="43" t="s">
        <v>70</v>
      </c>
      <c r="J23" s="44" t="s">
        <v>71</v>
      </c>
      <c r="K23" s="43">
        <v>-3601</v>
      </c>
      <c r="L23" s="43" t="s">
        <v>72</v>
      </c>
      <c r="M23" s="44" t="s">
        <v>73</v>
      </c>
      <c r="N23" s="44"/>
      <c r="O23" s="45" t="s">
        <v>74</v>
      </c>
      <c r="P23" s="45" t="s">
        <v>75</v>
      </c>
    </row>
    <row r="24" spans="1:16" ht="12.75" customHeight="1" thickBot="1" x14ac:dyDescent="0.25">
      <c r="A24" s="9" t="str">
        <f t="shared" si="0"/>
        <v> BAN 4.153 </v>
      </c>
      <c r="B24" s="20" t="str">
        <f t="shared" si="1"/>
        <v>I</v>
      </c>
      <c r="C24" s="9">
        <f t="shared" si="2"/>
        <v>16825.786</v>
      </c>
      <c r="D24" s="8" t="str">
        <f t="shared" si="3"/>
        <v>vis</v>
      </c>
      <c r="E24" s="42">
        <f>VLOOKUP(C24,Active!C$21:E$973,3,FALSE)</f>
        <v>-3414.9807138168403</v>
      </c>
      <c r="F24" s="20" t="s">
        <v>66</v>
      </c>
      <c r="G24" s="8" t="str">
        <f t="shared" si="4"/>
        <v>16825.786</v>
      </c>
      <c r="H24" s="9">
        <f t="shared" si="5"/>
        <v>-3415</v>
      </c>
      <c r="I24" s="43" t="s">
        <v>76</v>
      </c>
      <c r="J24" s="44" t="s">
        <v>77</v>
      </c>
      <c r="K24" s="43">
        <v>-3415</v>
      </c>
      <c r="L24" s="43" t="s">
        <v>78</v>
      </c>
      <c r="M24" s="44" t="s">
        <v>73</v>
      </c>
      <c r="N24" s="44"/>
      <c r="O24" s="45" t="s">
        <v>74</v>
      </c>
      <c r="P24" s="45" t="s">
        <v>75</v>
      </c>
    </row>
    <row r="25" spans="1:16" ht="12.75" customHeight="1" thickBot="1" x14ac:dyDescent="0.25">
      <c r="A25" s="9" t="str">
        <f t="shared" si="0"/>
        <v> BAN 4.153 </v>
      </c>
      <c r="B25" s="20" t="str">
        <f t="shared" si="1"/>
        <v>I</v>
      </c>
      <c r="C25" s="9">
        <f t="shared" si="2"/>
        <v>17880.911</v>
      </c>
      <c r="D25" s="8" t="str">
        <f t="shared" si="3"/>
        <v>vis</v>
      </c>
      <c r="E25" s="42">
        <f>VLOOKUP(C25,Active!C$21:E$973,3,FALSE)</f>
        <v>-3206.0048930991502</v>
      </c>
      <c r="F25" s="20" t="s">
        <v>66</v>
      </c>
      <c r="G25" s="8" t="str">
        <f t="shared" si="4"/>
        <v>17880.911</v>
      </c>
      <c r="H25" s="9">
        <f t="shared" si="5"/>
        <v>-3206</v>
      </c>
      <c r="I25" s="43" t="s">
        <v>79</v>
      </c>
      <c r="J25" s="44" t="s">
        <v>80</v>
      </c>
      <c r="K25" s="43">
        <v>-3206</v>
      </c>
      <c r="L25" s="43" t="s">
        <v>81</v>
      </c>
      <c r="M25" s="44" t="s">
        <v>73</v>
      </c>
      <c r="N25" s="44"/>
      <c r="O25" s="45" t="s">
        <v>74</v>
      </c>
      <c r="P25" s="45" t="s">
        <v>75</v>
      </c>
    </row>
    <row r="26" spans="1:16" ht="12.75" customHeight="1" thickBot="1" x14ac:dyDescent="0.25">
      <c r="A26" s="9" t="str">
        <f t="shared" si="0"/>
        <v> BAN 4.153 </v>
      </c>
      <c r="B26" s="20" t="str">
        <f t="shared" si="1"/>
        <v>I</v>
      </c>
      <c r="C26" s="9">
        <f t="shared" si="2"/>
        <v>18688.774000000001</v>
      </c>
      <c r="D26" s="8" t="str">
        <f t="shared" si="3"/>
        <v>vis</v>
      </c>
      <c r="E26" s="42">
        <f>VLOOKUP(C26,Active!C$21:E$973,3,FALSE)</f>
        <v>-3046.0012599253978</v>
      </c>
      <c r="F26" s="20" t="s">
        <v>66</v>
      </c>
      <c r="G26" s="8" t="str">
        <f t="shared" si="4"/>
        <v>18688.774</v>
      </c>
      <c r="H26" s="9">
        <f t="shared" si="5"/>
        <v>-3046</v>
      </c>
      <c r="I26" s="43" t="s">
        <v>82</v>
      </c>
      <c r="J26" s="44" t="s">
        <v>83</v>
      </c>
      <c r="K26" s="43">
        <v>-3046</v>
      </c>
      <c r="L26" s="43" t="s">
        <v>84</v>
      </c>
      <c r="M26" s="44" t="s">
        <v>73</v>
      </c>
      <c r="N26" s="44"/>
      <c r="O26" s="45" t="s">
        <v>74</v>
      </c>
      <c r="P26" s="45" t="s">
        <v>75</v>
      </c>
    </row>
    <row r="27" spans="1:16" ht="12.75" customHeight="1" thickBot="1" x14ac:dyDescent="0.25">
      <c r="A27" s="9" t="str">
        <f t="shared" si="0"/>
        <v> BAN 4.153 </v>
      </c>
      <c r="B27" s="20" t="str">
        <f t="shared" si="1"/>
        <v>I</v>
      </c>
      <c r="C27" s="9">
        <f t="shared" si="2"/>
        <v>19723.849999999999</v>
      </c>
      <c r="D27" s="8" t="str">
        <f t="shared" si="3"/>
        <v>vis</v>
      </c>
      <c r="E27" s="42">
        <f>VLOOKUP(C27,Active!C$21:E$973,3,FALSE)</f>
        <v>-2840.9963016453994</v>
      </c>
      <c r="F27" s="20" t="s">
        <v>66</v>
      </c>
      <c r="G27" s="8" t="str">
        <f t="shared" si="4"/>
        <v>19723.850</v>
      </c>
      <c r="H27" s="9">
        <f t="shared" si="5"/>
        <v>-2841</v>
      </c>
      <c r="I27" s="43" t="s">
        <v>85</v>
      </c>
      <c r="J27" s="44" t="s">
        <v>86</v>
      </c>
      <c r="K27" s="43">
        <v>-2841</v>
      </c>
      <c r="L27" s="43" t="s">
        <v>87</v>
      </c>
      <c r="M27" s="44" t="s">
        <v>73</v>
      </c>
      <c r="N27" s="44"/>
      <c r="O27" s="45" t="s">
        <v>74</v>
      </c>
      <c r="P27" s="45" t="s">
        <v>75</v>
      </c>
    </row>
    <row r="28" spans="1:16" ht="12.75" customHeight="1" thickBot="1" x14ac:dyDescent="0.25">
      <c r="A28" s="9" t="str">
        <f t="shared" si="0"/>
        <v> BAN 4.153 </v>
      </c>
      <c r="B28" s="20" t="str">
        <f t="shared" si="1"/>
        <v>I</v>
      </c>
      <c r="C28" s="9">
        <f t="shared" si="2"/>
        <v>19723.892</v>
      </c>
      <c r="D28" s="8" t="str">
        <f t="shared" si="3"/>
        <v>vis</v>
      </c>
      <c r="E28" s="42">
        <f>VLOOKUP(C28,Active!C$21:E$973,3,FALSE)</f>
        <v>-2840.9879832144361</v>
      </c>
      <c r="F28" s="20" t="s">
        <v>66</v>
      </c>
      <c r="G28" s="8" t="str">
        <f t="shared" si="4"/>
        <v>19723.892</v>
      </c>
      <c r="H28" s="9">
        <f t="shared" si="5"/>
        <v>-2841</v>
      </c>
      <c r="I28" s="43" t="s">
        <v>88</v>
      </c>
      <c r="J28" s="44" t="s">
        <v>89</v>
      </c>
      <c r="K28" s="43">
        <v>-2841</v>
      </c>
      <c r="L28" s="43" t="s">
        <v>90</v>
      </c>
      <c r="M28" s="44" t="s">
        <v>73</v>
      </c>
      <c r="N28" s="44"/>
      <c r="O28" s="45" t="s">
        <v>74</v>
      </c>
      <c r="P28" s="45" t="s">
        <v>75</v>
      </c>
    </row>
    <row r="29" spans="1:16" ht="12.75" customHeight="1" thickBot="1" x14ac:dyDescent="0.25">
      <c r="A29" s="9" t="str">
        <f t="shared" si="0"/>
        <v> BAN 4.153 </v>
      </c>
      <c r="B29" s="20" t="str">
        <f t="shared" si="1"/>
        <v>I</v>
      </c>
      <c r="C29" s="9">
        <f t="shared" si="2"/>
        <v>19804.636999999999</v>
      </c>
      <c r="D29" s="8" t="str">
        <f t="shared" si="3"/>
        <v>vis</v>
      </c>
      <c r="E29" s="42">
        <f>VLOOKUP(C29,Active!C$21:E$973,3,FALSE)</f>
        <v>-2824.9957996875082</v>
      </c>
      <c r="F29" s="20" t="s">
        <v>66</v>
      </c>
      <c r="G29" s="8" t="str">
        <f t="shared" si="4"/>
        <v>19804.637</v>
      </c>
      <c r="H29" s="9">
        <f t="shared" si="5"/>
        <v>-2825</v>
      </c>
      <c r="I29" s="43" t="s">
        <v>91</v>
      </c>
      <c r="J29" s="44" t="s">
        <v>92</v>
      </c>
      <c r="K29" s="43">
        <v>-2825</v>
      </c>
      <c r="L29" s="43" t="s">
        <v>93</v>
      </c>
      <c r="M29" s="44" t="s">
        <v>73</v>
      </c>
      <c r="N29" s="44"/>
      <c r="O29" s="45" t="s">
        <v>74</v>
      </c>
      <c r="P29" s="45" t="s">
        <v>75</v>
      </c>
    </row>
    <row r="30" spans="1:16" ht="12.75" customHeight="1" thickBot="1" x14ac:dyDescent="0.25">
      <c r="A30" s="9" t="str">
        <f t="shared" si="0"/>
        <v> BAN 4.153 </v>
      </c>
      <c r="B30" s="20" t="str">
        <f t="shared" si="1"/>
        <v>I</v>
      </c>
      <c r="C30" s="9">
        <f t="shared" si="2"/>
        <v>19804.716</v>
      </c>
      <c r="D30" s="8" t="str">
        <f t="shared" si="3"/>
        <v>vis</v>
      </c>
      <c r="E30" s="42">
        <f>VLOOKUP(C30,Active!C$21:E$973,3,FALSE)</f>
        <v>-2824.9801531149819</v>
      </c>
      <c r="F30" s="20" t="s">
        <v>66</v>
      </c>
      <c r="G30" s="8" t="str">
        <f t="shared" si="4"/>
        <v>19804.716</v>
      </c>
      <c r="H30" s="9">
        <f t="shared" si="5"/>
        <v>-2825</v>
      </c>
      <c r="I30" s="43" t="s">
        <v>94</v>
      </c>
      <c r="J30" s="44" t="s">
        <v>95</v>
      </c>
      <c r="K30" s="43">
        <v>-2825</v>
      </c>
      <c r="L30" s="43" t="s">
        <v>96</v>
      </c>
      <c r="M30" s="44" t="s">
        <v>73</v>
      </c>
      <c r="N30" s="44"/>
      <c r="O30" s="45" t="s">
        <v>74</v>
      </c>
      <c r="P30" s="45" t="s">
        <v>75</v>
      </c>
    </row>
    <row r="31" spans="1:16" ht="12.75" customHeight="1" thickBot="1" x14ac:dyDescent="0.25">
      <c r="A31" s="9" t="str">
        <f t="shared" si="0"/>
        <v> BAN 4.153 </v>
      </c>
      <c r="B31" s="20" t="str">
        <f t="shared" si="1"/>
        <v>I</v>
      </c>
      <c r="C31" s="9">
        <f t="shared" si="2"/>
        <v>20930.608</v>
      </c>
      <c r="D31" s="8" t="str">
        <f t="shared" si="3"/>
        <v>vis</v>
      </c>
      <c r="E31" s="42">
        <f>VLOOKUP(C31,Active!C$21:E$973,3,FALSE)</f>
        <v>-2601.9883703977857</v>
      </c>
      <c r="F31" s="20" t="s">
        <v>66</v>
      </c>
      <c r="G31" s="8" t="str">
        <f t="shared" si="4"/>
        <v>20930.608</v>
      </c>
      <c r="H31" s="9">
        <f t="shared" si="5"/>
        <v>-2602</v>
      </c>
      <c r="I31" s="43" t="s">
        <v>97</v>
      </c>
      <c r="J31" s="44" t="s">
        <v>98</v>
      </c>
      <c r="K31" s="43">
        <v>-2602</v>
      </c>
      <c r="L31" s="43" t="s">
        <v>99</v>
      </c>
      <c r="M31" s="44" t="s">
        <v>73</v>
      </c>
      <c r="N31" s="44"/>
      <c r="O31" s="45" t="s">
        <v>74</v>
      </c>
      <c r="P31" s="45" t="s">
        <v>75</v>
      </c>
    </row>
    <row r="32" spans="1:16" ht="12.75" customHeight="1" thickBot="1" x14ac:dyDescent="0.25">
      <c r="A32" s="9" t="str">
        <f t="shared" si="0"/>
        <v> BAN 4.153 </v>
      </c>
      <c r="B32" s="20" t="str">
        <f t="shared" si="1"/>
        <v>I</v>
      </c>
      <c r="C32" s="9">
        <f t="shared" si="2"/>
        <v>22293.817999999999</v>
      </c>
      <c r="D32" s="8" t="str">
        <f t="shared" si="3"/>
        <v>vis</v>
      </c>
      <c r="E32" s="42">
        <f>VLOOKUP(C32,Active!C$21:E$973,3,FALSE)</f>
        <v>-2331.9938876961514</v>
      </c>
      <c r="F32" s="20" t="s">
        <v>66</v>
      </c>
      <c r="G32" s="8" t="str">
        <f t="shared" si="4"/>
        <v>22293.818</v>
      </c>
      <c r="H32" s="9">
        <f t="shared" si="5"/>
        <v>-2332</v>
      </c>
      <c r="I32" s="43" t="s">
        <v>100</v>
      </c>
      <c r="J32" s="44" t="s">
        <v>101</v>
      </c>
      <c r="K32" s="43">
        <v>-2332</v>
      </c>
      <c r="L32" s="43" t="s">
        <v>102</v>
      </c>
      <c r="M32" s="44" t="s">
        <v>73</v>
      </c>
      <c r="N32" s="44"/>
      <c r="O32" s="45" t="s">
        <v>74</v>
      </c>
      <c r="P32" s="45" t="s">
        <v>75</v>
      </c>
    </row>
    <row r="33" spans="1:16" ht="12.75" customHeight="1" thickBot="1" x14ac:dyDescent="0.25">
      <c r="A33" s="9" t="str">
        <f t="shared" si="0"/>
        <v> BAN 4.153 </v>
      </c>
      <c r="B33" s="20" t="str">
        <f t="shared" si="1"/>
        <v>I</v>
      </c>
      <c r="C33" s="9">
        <f t="shared" si="2"/>
        <v>22298.909</v>
      </c>
      <c r="D33" s="8" t="str">
        <f t="shared" si="3"/>
        <v>vis</v>
      </c>
      <c r="E33" s="42">
        <f>VLOOKUP(C33,Active!C$21:E$973,3,FALSE)</f>
        <v>-2330.9855750286724</v>
      </c>
      <c r="F33" s="20" t="s">
        <v>66</v>
      </c>
      <c r="G33" s="8" t="str">
        <f t="shared" si="4"/>
        <v>22298.909</v>
      </c>
      <c r="H33" s="9">
        <f t="shared" si="5"/>
        <v>-2331</v>
      </c>
      <c r="I33" s="43" t="s">
        <v>103</v>
      </c>
      <c r="J33" s="44" t="s">
        <v>104</v>
      </c>
      <c r="K33" s="43">
        <v>-2331</v>
      </c>
      <c r="L33" s="43" t="s">
        <v>105</v>
      </c>
      <c r="M33" s="44" t="s">
        <v>73</v>
      </c>
      <c r="N33" s="44"/>
      <c r="O33" s="45" t="s">
        <v>74</v>
      </c>
      <c r="P33" s="45" t="s">
        <v>75</v>
      </c>
    </row>
    <row r="34" spans="1:16" ht="12.75" customHeight="1" thickBot="1" x14ac:dyDescent="0.25">
      <c r="A34" s="9" t="str">
        <f t="shared" si="0"/>
        <v> BAN 4.153 </v>
      </c>
      <c r="B34" s="20" t="str">
        <f t="shared" si="1"/>
        <v>I</v>
      </c>
      <c r="C34" s="9">
        <f t="shared" si="2"/>
        <v>24136.705000000002</v>
      </c>
      <c r="D34" s="8" t="str">
        <f t="shared" si="3"/>
        <v>vis</v>
      </c>
      <c r="E34" s="42">
        <f>VLOOKUP(C34,Active!C$21:E$973,3,FALSE)</f>
        <v>-1966.9955952521639</v>
      </c>
      <c r="F34" s="20" t="s">
        <v>66</v>
      </c>
      <c r="G34" s="8" t="str">
        <f t="shared" si="4"/>
        <v>24136.705</v>
      </c>
      <c r="H34" s="9">
        <f t="shared" si="5"/>
        <v>-1967</v>
      </c>
      <c r="I34" s="43" t="s">
        <v>106</v>
      </c>
      <c r="J34" s="44" t="s">
        <v>107</v>
      </c>
      <c r="K34" s="43">
        <v>-1967</v>
      </c>
      <c r="L34" s="43" t="s">
        <v>108</v>
      </c>
      <c r="M34" s="44" t="s">
        <v>73</v>
      </c>
      <c r="N34" s="44"/>
      <c r="O34" s="45" t="s">
        <v>74</v>
      </c>
      <c r="P34" s="45" t="s">
        <v>75</v>
      </c>
    </row>
    <row r="35" spans="1:16" ht="12.75" customHeight="1" thickBot="1" x14ac:dyDescent="0.25">
      <c r="A35" s="9" t="str">
        <f t="shared" si="0"/>
        <v> BAN 4.153 </v>
      </c>
      <c r="B35" s="20" t="str">
        <f t="shared" si="1"/>
        <v>I</v>
      </c>
      <c r="C35" s="9">
        <f t="shared" si="2"/>
        <v>24146.692999999999</v>
      </c>
      <c r="D35" s="8" t="str">
        <f t="shared" si="3"/>
        <v>vis</v>
      </c>
      <c r="E35" s="42">
        <f>VLOOKUP(C35,Active!C$21:E$973,3,FALSE)</f>
        <v>-1965.0173931459417</v>
      </c>
      <c r="F35" s="20" t="s">
        <v>66</v>
      </c>
      <c r="G35" s="8" t="str">
        <f t="shared" si="4"/>
        <v>24146.693</v>
      </c>
      <c r="H35" s="9">
        <f t="shared" si="5"/>
        <v>-1965</v>
      </c>
      <c r="I35" s="43" t="s">
        <v>109</v>
      </c>
      <c r="J35" s="44" t="s">
        <v>110</v>
      </c>
      <c r="K35" s="43">
        <v>-1965</v>
      </c>
      <c r="L35" s="43" t="s">
        <v>111</v>
      </c>
      <c r="M35" s="44" t="s">
        <v>73</v>
      </c>
      <c r="N35" s="44"/>
      <c r="O35" s="45" t="s">
        <v>74</v>
      </c>
      <c r="P35" s="45" t="s">
        <v>75</v>
      </c>
    </row>
    <row r="36" spans="1:16" ht="12.75" customHeight="1" thickBot="1" x14ac:dyDescent="0.25">
      <c r="A36" s="9" t="str">
        <f t="shared" si="0"/>
        <v> BAN 4.153 </v>
      </c>
      <c r="B36" s="20" t="str">
        <f t="shared" si="1"/>
        <v>I</v>
      </c>
      <c r="C36" s="9">
        <f t="shared" si="2"/>
        <v>24146.809000000001</v>
      </c>
      <c r="D36" s="8" t="str">
        <f t="shared" si="3"/>
        <v>vis</v>
      </c>
      <c r="E36" s="42">
        <f>VLOOKUP(C36,Active!C$21:E$973,3,FALSE)</f>
        <v>-1964.9944184318522</v>
      </c>
      <c r="F36" s="20" t="s">
        <v>66</v>
      </c>
      <c r="G36" s="8" t="str">
        <f t="shared" si="4"/>
        <v>24146.809</v>
      </c>
      <c r="H36" s="9">
        <f t="shared" si="5"/>
        <v>-1965</v>
      </c>
      <c r="I36" s="43" t="s">
        <v>112</v>
      </c>
      <c r="J36" s="44" t="s">
        <v>113</v>
      </c>
      <c r="K36" s="43">
        <v>-1965</v>
      </c>
      <c r="L36" s="43" t="s">
        <v>114</v>
      </c>
      <c r="M36" s="44" t="s">
        <v>73</v>
      </c>
      <c r="N36" s="44"/>
      <c r="O36" s="45" t="s">
        <v>74</v>
      </c>
      <c r="P36" s="45" t="s">
        <v>75</v>
      </c>
    </row>
    <row r="37" spans="1:16" ht="12.75" customHeight="1" thickBot="1" x14ac:dyDescent="0.25">
      <c r="A37" s="9" t="str">
        <f t="shared" si="0"/>
        <v> AA 27.154 </v>
      </c>
      <c r="B37" s="20" t="str">
        <f t="shared" si="1"/>
        <v>I</v>
      </c>
      <c r="C37" s="9">
        <f t="shared" si="2"/>
        <v>24444.666000000001</v>
      </c>
      <c r="D37" s="8" t="str">
        <f t="shared" si="3"/>
        <v>vis</v>
      </c>
      <c r="E37" s="42">
        <f>VLOOKUP(C37,Active!C$21:E$973,3,FALSE)</f>
        <v>-1906.0014924453492</v>
      </c>
      <c r="F37" s="20" t="s">
        <v>66</v>
      </c>
      <c r="G37" s="8" t="str">
        <f t="shared" si="4"/>
        <v>24444.666</v>
      </c>
      <c r="H37" s="9">
        <f t="shared" si="5"/>
        <v>-1906</v>
      </c>
      <c r="I37" s="43" t="s">
        <v>115</v>
      </c>
      <c r="J37" s="44" t="s">
        <v>116</v>
      </c>
      <c r="K37" s="43">
        <v>-1906</v>
      </c>
      <c r="L37" s="43" t="s">
        <v>117</v>
      </c>
      <c r="M37" s="44" t="s">
        <v>118</v>
      </c>
      <c r="N37" s="44"/>
      <c r="O37" s="45" t="s">
        <v>119</v>
      </c>
      <c r="P37" s="45" t="s">
        <v>120</v>
      </c>
    </row>
    <row r="38" spans="1:16" ht="12.75" customHeight="1" thickBot="1" x14ac:dyDescent="0.25">
      <c r="A38" s="9" t="str">
        <f t="shared" si="0"/>
        <v> AA 27.154 </v>
      </c>
      <c r="B38" s="20" t="str">
        <f t="shared" si="1"/>
        <v>I</v>
      </c>
      <c r="C38" s="9">
        <f t="shared" si="2"/>
        <v>24449.722000000002</v>
      </c>
      <c r="D38" s="8" t="str">
        <f t="shared" si="3"/>
        <v>vis</v>
      </c>
      <c r="E38" s="42">
        <f>VLOOKUP(C38,Active!C$21:E$973,3,FALSE)</f>
        <v>-1905.0001118036728</v>
      </c>
      <c r="F38" s="20" t="s">
        <v>66</v>
      </c>
      <c r="G38" s="8" t="str">
        <f t="shared" si="4"/>
        <v>24449.722</v>
      </c>
      <c r="H38" s="9">
        <f t="shared" si="5"/>
        <v>-1905</v>
      </c>
      <c r="I38" s="43" t="s">
        <v>121</v>
      </c>
      <c r="J38" s="44" t="s">
        <v>122</v>
      </c>
      <c r="K38" s="43">
        <v>-1905</v>
      </c>
      <c r="L38" s="43" t="s">
        <v>123</v>
      </c>
      <c r="M38" s="44" t="s">
        <v>118</v>
      </c>
      <c r="N38" s="44"/>
      <c r="O38" s="45" t="s">
        <v>119</v>
      </c>
      <c r="P38" s="45" t="s">
        <v>120</v>
      </c>
    </row>
    <row r="39" spans="1:16" ht="12.75" customHeight="1" thickBot="1" x14ac:dyDescent="0.25">
      <c r="A39" s="9" t="str">
        <f t="shared" si="0"/>
        <v> BAN 4.153 </v>
      </c>
      <c r="B39" s="20" t="str">
        <f t="shared" si="1"/>
        <v>I</v>
      </c>
      <c r="C39" s="9">
        <f t="shared" si="2"/>
        <v>24469.86</v>
      </c>
      <c r="D39" s="8" t="str">
        <f t="shared" si="3"/>
        <v>vis</v>
      </c>
      <c r="E39" s="42">
        <f>VLOOKUP(C39,Active!C$21:E$973,3,FALSE)</f>
        <v>-1901.0116222146548</v>
      </c>
      <c r="F39" s="20" t="s">
        <v>66</v>
      </c>
      <c r="G39" s="8" t="str">
        <f t="shared" si="4"/>
        <v>24469.860</v>
      </c>
      <c r="H39" s="9">
        <f t="shared" si="5"/>
        <v>-1901</v>
      </c>
      <c r="I39" s="43" t="s">
        <v>124</v>
      </c>
      <c r="J39" s="44" t="s">
        <v>125</v>
      </c>
      <c r="K39" s="43">
        <v>-1901</v>
      </c>
      <c r="L39" s="43" t="s">
        <v>126</v>
      </c>
      <c r="M39" s="44" t="s">
        <v>73</v>
      </c>
      <c r="N39" s="44"/>
      <c r="O39" s="45" t="s">
        <v>74</v>
      </c>
      <c r="P39" s="45" t="s">
        <v>75</v>
      </c>
    </row>
    <row r="40" spans="1:16" ht="12.75" customHeight="1" thickBot="1" x14ac:dyDescent="0.25">
      <c r="A40" s="9" t="str">
        <f t="shared" si="0"/>
        <v> SAC 5.51 </v>
      </c>
      <c r="B40" s="20" t="str">
        <f t="shared" si="1"/>
        <v>I</v>
      </c>
      <c r="C40" s="9">
        <f t="shared" si="2"/>
        <v>24530.517</v>
      </c>
      <c r="D40" s="8" t="str">
        <f t="shared" si="3"/>
        <v>vis</v>
      </c>
      <c r="E40" s="42">
        <f>VLOOKUP(C40,Active!C$21:E$973,3,FALSE)</f>
        <v>-1888.9980253827412</v>
      </c>
      <c r="F40" s="20" t="s">
        <v>66</v>
      </c>
      <c r="G40" s="8" t="str">
        <f t="shared" si="4"/>
        <v>24530.517</v>
      </c>
      <c r="H40" s="9">
        <f t="shared" si="5"/>
        <v>-1889</v>
      </c>
      <c r="I40" s="43" t="s">
        <v>127</v>
      </c>
      <c r="J40" s="44" t="s">
        <v>128</v>
      </c>
      <c r="K40" s="43">
        <v>-1889</v>
      </c>
      <c r="L40" s="43" t="s">
        <v>129</v>
      </c>
      <c r="M40" s="44" t="s">
        <v>118</v>
      </c>
      <c r="N40" s="44"/>
      <c r="O40" s="45" t="s">
        <v>119</v>
      </c>
      <c r="P40" s="45" t="s">
        <v>130</v>
      </c>
    </row>
    <row r="41" spans="1:16" ht="12.75" customHeight="1" thickBot="1" x14ac:dyDescent="0.25">
      <c r="A41" s="9" t="str">
        <f t="shared" si="0"/>
        <v> AA 27.154 </v>
      </c>
      <c r="B41" s="20" t="str">
        <f t="shared" si="1"/>
        <v>I</v>
      </c>
      <c r="C41" s="9">
        <f t="shared" si="2"/>
        <v>24601.19</v>
      </c>
      <c r="D41" s="8" t="str">
        <f t="shared" si="3"/>
        <v>vis</v>
      </c>
      <c r="E41" s="42">
        <f>VLOOKUP(C41,Active!C$21:E$973,3,FALSE)</f>
        <v>-1875.0006808239627</v>
      </c>
      <c r="F41" s="20" t="s">
        <v>66</v>
      </c>
      <c r="G41" s="8" t="str">
        <f t="shared" si="4"/>
        <v>24601.190</v>
      </c>
      <c r="H41" s="9">
        <f t="shared" si="5"/>
        <v>-1875</v>
      </c>
      <c r="I41" s="43" t="s">
        <v>131</v>
      </c>
      <c r="J41" s="44" t="s">
        <v>132</v>
      </c>
      <c r="K41" s="43">
        <v>-1875</v>
      </c>
      <c r="L41" s="43" t="s">
        <v>68</v>
      </c>
      <c r="M41" s="44" t="s">
        <v>118</v>
      </c>
      <c r="N41" s="44"/>
      <c r="O41" s="45" t="s">
        <v>119</v>
      </c>
      <c r="P41" s="45" t="s">
        <v>120</v>
      </c>
    </row>
    <row r="42" spans="1:16" ht="12.75" customHeight="1" thickBot="1" x14ac:dyDescent="0.25">
      <c r="A42" s="9" t="str">
        <f t="shared" si="0"/>
        <v> AA 27.154 </v>
      </c>
      <c r="B42" s="20" t="str">
        <f t="shared" si="1"/>
        <v>I</v>
      </c>
      <c r="C42" s="9">
        <f t="shared" si="2"/>
        <v>26767.22</v>
      </c>
      <c r="D42" s="8" t="str">
        <f t="shared" si="3"/>
        <v>vis</v>
      </c>
      <c r="E42" s="42">
        <f>VLOOKUP(C42,Active!C$21:E$973,3,FALSE)</f>
        <v>-1446.0013708378108</v>
      </c>
      <c r="F42" s="20" t="s">
        <v>66</v>
      </c>
      <c r="G42" s="8" t="str">
        <f t="shared" si="4"/>
        <v>26767.220</v>
      </c>
      <c r="H42" s="9">
        <f t="shared" si="5"/>
        <v>-1446</v>
      </c>
      <c r="I42" s="43" t="s">
        <v>133</v>
      </c>
      <c r="J42" s="44" t="s">
        <v>134</v>
      </c>
      <c r="K42" s="43">
        <v>-1446</v>
      </c>
      <c r="L42" s="43" t="s">
        <v>135</v>
      </c>
      <c r="M42" s="44" t="s">
        <v>118</v>
      </c>
      <c r="N42" s="44"/>
      <c r="O42" s="45" t="s">
        <v>136</v>
      </c>
      <c r="P42" s="45" t="s">
        <v>120</v>
      </c>
    </row>
    <row r="43" spans="1:16" ht="12.75" customHeight="1" thickBot="1" x14ac:dyDescent="0.25">
      <c r="A43" s="9" t="str">
        <f t="shared" si="0"/>
        <v> AN 260.291 </v>
      </c>
      <c r="B43" s="20" t="str">
        <f t="shared" si="1"/>
        <v>I</v>
      </c>
      <c r="C43" s="9">
        <f t="shared" si="2"/>
        <v>27484.187999999998</v>
      </c>
      <c r="D43" s="8" t="str">
        <f t="shared" si="3"/>
        <v>vis</v>
      </c>
      <c r="E43" s="42">
        <f>VLOOKUP(C43,Active!C$21:E$973,3,FALSE)</f>
        <v>-1304.0002086737827</v>
      </c>
      <c r="F43" s="20" t="s">
        <v>66</v>
      </c>
      <c r="G43" s="8" t="str">
        <f t="shared" si="4"/>
        <v>27484.188</v>
      </c>
      <c r="H43" s="9">
        <f t="shared" si="5"/>
        <v>-1304</v>
      </c>
      <c r="I43" s="43" t="s">
        <v>137</v>
      </c>
      <c r="J43" s="44" t="s">
        <v>138</v>
      </c>
      <c r="K43" s="43">
        <v>-1304</v>
      </c>
      <c r="L43" s="43" t="s">
        <v>123</v>
      </c>
      <c r="M43" s="44" t="s">
        <v>118</v>
      </c>
      <c r="N43" s="44"/>
      <c r="O43" s="45" t="s">
        <v>139</v>
      </c>
      <c r="P43" s="45" t="s">
        <v>140</v>
      </c>
    </row>
    <row r="44" spans="1:16" ht="12.75" customHeight="1" thickBot="1" x14ac:dyDescent="0.25">
      <c r="A44" s="9" t="str">
        <f t="shared" si="0"/>
        <v> AN 260.291 </v>
      </c>
      <c r="B44" s="20" t="str">
        <f t="shared" si="1"/>
        <v>I</v>
      </c>
      <c r="C44" s="9">
        <f t="shared" si="2"/>
        <v>27489.223000000002</v>
      </c>
      <c r="D44" s="8" t="str">
        <f t="shared" si="3"/>
        <v>vis</v>
      </c>
      <c r="E44" s="42">
        <f>VLOOKUP(C44,Active!C$21:E$973,3,FALSE)</f>
        <v>-1303.0029872475873</v>
      </c>
      <c r="F44" s="20" t="s">
        <v>66</v>
      </c>
      <c r="G44" s="8" t="str">
        <f t="shared" si="4"/>
        <v>27489.223</v>
      </c>
      <c r="H44" s="9">
        <f t="shared" si="5"/>
        <v>-1303</v>
      </c>
      <c r="I44" s="43" t="s">
        <v>141</v>
      </c>
      <c r="J44" s="44" t="s">
        <v>142</v>
      </c>
      <c r="K44" s="43">
        <v>-1303</v>
      </c>
      <c r="L44" s="43" t="s">
        <v>143</v>
      </c>
      <c r="M44" s="44" t="s">
        <v>118</v>
      </c>
      <c r="N44" s="44"/>
      <c r="O44" s="45" t="s">
        <v>139</v>
      </c>
      <c r="P44" s="45" t="s">
        <v>140</v>
      </c>
    </row>
    <row r="45" spans="1:16" ht="12.75" customHeight="1" thickBot="1" x14ac:dyDescent="0.25">
      <c r="A45" s="9" t="str">
        <f t="shared" si="0"/>
        <v> AN 260.291 </v>
      </c>
      <c r="B45" s="20" t="str">
        <f t="shared" si="1"/>
        <v>I</v>
      </c>
      <c r="C45" s="9">
        <f t="shared" si="2"/>
        <v>27883.026999999998</v>
      </c>
      <c r="D45" s="8" t="str">
        <f t="shared" si="3"/>
        <v>vis</v>
      </c>
      <c r="E45" s="42">
        <f>VLOOKUP(C45,Active!C$21:E$973,3,FALSE)</f>
        <v>-1225.0070018412057</v>
      </c>
      <c r="F45" s="20" t="s">
        <v>66</v>
      </c>
      <c r="G45" s="8" t="str">
        <f t="shared" si="4"/>
        <v>27883.027</v>
      </c>
      <c r="H45" s="9">
        <f t="shared" si="5"/>
        <v>-1225</v>
      </c>
      <c r="I45" s="43" t="s">
        <v>144</v>
      </c>
      <c r="J45" s="44" t="s">
        <v>145</v>
      </c>
      <c r="K45" s="43">
        <v>-1225</v>
      </c>
      <c r="L45" s="43" t="s">
        <v>146</v>
      </c>
      <c r="M45" s="44" t="s">
        <v>118</v>
      </c>
      <c r="N45" s="44"/>
      <c r="O45" s="45" t="s">
        <v>139</v>
      </c>
      <c r="P45" s="45" t="s">
        <v>140</v>
      </c>
    </row>
    <row r="46" spans="1:16" ht="12.75" customHeight="1" thickBot="1" x14ac:dyDescent="0.25">
      <c r="A46" s="9" t="str">
        <f t="shared" si="0"/>
        <v> AN 260.291 </v>
      </c>
      <c r="B46" s="20" t="str">
        <f t="shared" si="1"/>
        <v>I</v>
      </c>
      <c r="C46" s="9">
        <f t="shared" si="2"/>
        <v>27888.113000000001</v>
      </c>
      <c r="D46" s="8" t="str">
        <f t="shared" si="3"/>
        <v>vis</v>
      </c>
      <c r="E46" s="42">
        <f>VLOOKUP(C46,Active!C$21:E$973,3,FALSE)</f>
        <v>-1223.9996794631265</v>
      </c>
      <c r="F46" s="20" t="s">
        <v>66</v>
      </c>
      <c r="G46" s="8" t="str">
        <f t="shared" si="4"/>
        <v>27888.113</v>
      </c>
      <c r="H46" s="9">
        <f t="shared" si="5"/>
        <v>-1224</v>
      </c>
      <c r="I46" s="43" t="s">
        <v>147</v>
      </c>
      <c r="J46" s="44" t="s">
        <v>148</v>
      </c>
      <c r="K46" s="43">
        <v>-1224</v>
      </c>
      <c r="L46" s="43" t="s">
        <v>149</v>
      </c>
      <c r="M46" s="44" t="s">
        <v>118</v>
      </c>
      <c r="N46" s="44"/>
      <c r="O46" s="45" t="s">
        <v>139</v>
      </c>
      <c r="P46" s="45" t="s">
        <v>140</v>
      </c>
    </row>
    <row r="47" spans="1:16" ht="12.75" customHeight="1" thickBot="1" x14ac:dyDescent="0.25">
      <c r="A47" s="9" t="str">
        <f t="shared" si="0"/>
        <v> AN 260.291 </v>
      </c>
      <c r="B47" s="20" t="str">
        <f t="shared" si="1"/>
        <v>I</v>
      </c>
      <c r="C47" s="9">
        <f t="shared" si="2"/>
        <v>28211.245999999999</v>
      </c>
      <c r="D47" s="8" t="str">
        <f t="shared" si="3"/>
        <v>vis</v>
      </c>
      <c r="E47" s="42">
        <f>VLOOKUP(C47,Active!C$21:E$973,3,FALSE)</f>
        <v>-1160.000642499763</v>
      </c>
      <c r="F47" s="20" t="s">
        <v>66</v>
      </c>
      <c r="G47" s="8" t="str">
        <f t="shared" si="4"/>
        <v>28211.246</v>
      </c>
      <c r="H47" s="9">
        <f t="shared" si="5"/>
        <v>-1160</v>
      </c>
      <c r="I47" s="43" t="s">
        <v>150</v>
      </c>
      <c r="J47" s="44" t="s">
        <v>151</v>
      </c>
      <c r="K47" s="43">
        <v>-1160</v>
      </c>
      <c r="L47" s="43" t="s">
        <v>68</v>
      </c>
      <c r="M47" s="44" t="s">
        <v>118</v>
      </c>
      <c r="N47" s="44"/>
      <c r="O47" s="45" t="s">
        <v>139</v>
      </c>
      <c r="P47" s="45" t="s">
        <v>140</v>
      </c>
    </row>
    <row r="48" spans="1:16" ht="12.75" customHeight="1" thickBot="1" x14ac:dyDescent="0.25">
      <c r="A48" s="9" t="str">
        <f t="shared" si="0"/>
        <v> AN 260.291 </v>
      </c>
      <c r="B48" s="20" t="str">
        <f t="shared" si="1"/>
        <v>I</v>
      </c>
      <c r="C48" s="9">
        <f t="shared" si="2"/>
        <v>28246.606</v>
      </c>
      <c r="D48" s="8" t="str">
        <f t="shared" si="3"/>
        <v>vis</v>
      </c>
      <c r="E48" s="42">
        <f>VLOOKUP(C48,Active!C$21:E$973,3,FALSE)</f>
        <v>-1152.9973158601917</v>
      </c>
      <c r="F48" s="20" t="s">
        <v>66</v>
      </c>
      <c r="G48" s="8" t="str">
        <f t="shared" si="4"/>
        <v>28246.606</v>
      </c>
      <c r="H48" s="9">
        <f t="shared" si="5"/>
        <v>-1153</v>
      </c>
      <c r="I48" s="43" t="s">
        <v>152</v>
      </c>
      <c r="J48" s="44" t="s">
        <v>153</v>
      </c>
      <c r="K48" s="43">
        <v>-1153</v>
      </c>
      <c r="L48" s="43" t="s">
        <v>154</v>
      </c>
      <c r="M48" s="44" t="s">
        <v>118</v>
      </c>
      <c r="N48" s="44"/>
      <c r="O48" s="45" t="s">
        <v>139</v>
      </c>
      <c r="P48" s="45" t="s">
        <v>140</v>
      </c>
    </row>
    <row r="49" spans="1:16" ht="12.75" customHeight="1" thickBot="1" x14ac:dyDescent="0.25">
      <c r="A49" s="9" t="str">
        <f t="shared" si="0"/>
        <v> HA 113.69 </v>
      </c>
      <c r="B49" s="20" t="str">
        <f t="shared" si="1"/>
        <v>I</v>
      </c>
      <c r="C49" s="9">
        <f t="shared" si="2"/>
        <v>28251.620999999999</v>
      </c>
      <c r="D49" s="8" t="str">
        <f t="shared" si="3"/>
        <v>vis</v>
      </c>
      <c r="E49" s="42">
        <f>VLOOKUP(C49,Active!C$21:E$973,3,FALSE)</f>
        <v>-1152.0040555915989</v>
      </c>
      <c r="F49" s="20" t="s">
        <v>66</v>
      </c>
      <c r="G49" s="8" t="str">
        <f t="shared" si="4"/>
        <v>28251.621</v>
      </c>
      <c r="H49" s="9">
        <f t="shared" si="5"/>
        <v>-1152</v>
      </c>
      <c r="I49" s="43" t="s">
        <v>155</v>
      </c>
      <c r="J49" s="44" t="s">
        <v>156</v>
      </c>
      <c r="K49" s="43">
        <v>-1152</v>
      </c>
      <c r="L49" s="43" t="s">
        <v>157</v>
      </c>
      <c r="M49" s="44" t="s">
        <v>69</v>
      </c>
      <c r="N49" s="44"/>
      <c r="O49" s="45" t="s">
        <v>158</v>
      </c>
      <c r="P49" s="45" t="s">
        <v>159</v>
      </c>
    </row>
    <row r="50" spans="1:16" ht="12.75" customHeight="1" thickBot="1" x14ac:dyDescent="0.25">
      <c r="A50" s="9" t="str">
        <f t="shared" si="0"/>
        <v> AA 28.513 </v>
      </c>
      <c r="B50" s="20" t="str">
        <f t="shared" si="1"/>
        <v>I</v>
      </c>
      <c r="C50" s="9">
        <f t="shared" si="2"/>
        <v>30468.14</v>
      </c>
      <c r="D50" s="8" t="str">
        <f t="shared" si="3"/>
        <v>vis</v>
      </c>
      <c r="E50" s="42">
        <f>VLOOKUP(C50,Active!C$21:E$973,3,FALSE)</f>
        <v>-713.00500129817033</v>
      </c>
      <c r="F50" s="20" t="s">
        <v>66</v>
      </c>
      <c r="G50" s="8" t="str">
        <f t="shared" si="4"/>
        <v>30468.140</v>
      </c>
      <c r="H50" s="9">
        <f t="shared" si="5"/>
        <v>-713</v>
      </c>
      <c r="I50" s="43" t="s">
        <v>160</v>
      </c>
      <c r="J50" s="44" t="s">
        <v>161</v>
      </c>
      <c r="K50" s="43">
        <v>-713</v>
      </c>
      <c r="L50" s="43" t="s">
        <v>81</v>
      </c>
      <c r="M50" s="44" t="s">
        <v>118</v>
      </c>
      <c r="N50" s="44"/>
      <c r="O50" s="45" t="s">
        <v>119</v>
      </c>
      <c r="P50" s="45" t="s">
        <v>162</v>
      </c>
    </row>
    <row r="51" spans="1:16" ht="12.75" customHeight="1" thickBot="1" x14ac:dyDescent="0.25">
      <c r="A51" s="9" t="str">
        <f t="shared" si="0"/>
        <v> AA 27.154 </v>
      </c>
      <c r="B51" s="20" t="str">
        <f t="shared" si="1"/>
        <v>I</v>
      </c>
      <c r="C51" s="9">
        <f t="shared" si="2"/>
        <v>30796.322</v>
      </c>
      <c r="D51" s="8" t="str">
        <f t="shared" si="3"/>
        <v>vis</v>
      </c>
      <c r="E51" s="42">
        <f>VLOOKUP(C51,Active!C$21:E$973,3,FALSE)</f>
        <v>-648.00597009829062</v>
      </c>
      <c r="F51" s="20" t="s">
        <v>66</v>
      </c>
      <c r="G51" s="8" t="str">
        <f t="shared" si="4"/>
        <v>30796.322</v>
      </c>
      <c r="H51" s="9">
        <f t="shared" si="5"/>
        <v>-648</v>
      </c>
      <c r="I51" s="43" t="s">
        <v>163</v>
      </c>
      <c r="J51" s="44" t="s">
        <v>164</v>
      </c>
      <c r="K51" s="43">
        <v>-648</v>
      </c>
      <c r="L51" s="43" t="s">
        <v>165</v>
      </c>
      <c r="M51" s="44" t="s">
        <v>118</v>
      </c>
      <c r="N51" s="44"/>
      <c r="O51" s="45" t="s">
        <v>119</v>
      </c>
      <c r="P51" s="45" t="s">
        <v>120</v>
      </c>
    </row>
    <row r="52" spans="1:16" ht="12.75" customHeight="1" thickBot="1" x14ac:dyDescent="0.25">
      <c r="A52" s="9" t="str">
        <f t="shared" si="0"/>
        <v> SAC 24.87 </v>
      </c>
      <c r="B52" s="20" t="str">
        <f t="shared" si="1"/>
        <v>I</v>
      </c>
      <c r="C52" s="9">
        <f t="shared" si="2"/>
        <v>32255.513999999999</v>
      </c>
      <c r="D52" s="8" t="str">
        <f t="shared" si="3"/>
        <v>vis</v>
      </c>
      <c r="E52" s="42">
        <f>VLOOKUP(C52,Active!C$21:E$973,3,FALSE)</f>
        <v>-359.00149595097406</v>
      </c>
      <c r="F52" s="20" t="s">
        <v>66</v>
      </c>
      <c r="G52" s="8" t="str">
        <f t="shared" si="4"/>
        <v>32255.514</v>
      </c>
      <c r="H52" s="9">
        <f t="shared" si="5"/>
        <v>-359</v>
      </c>
      <c r="I52" s="43" t="s">
        <v>166</v>
      </c>
      <c r="J52" s="44" t="s">
        <v>167</v>
      </c>
      <c r="K52" s="43">
        <v>-359</v>
      </c>
      <c r="L52" s="43" t="s">
        <v>117</v>
      </c>
      <c r="M52" s="44" t="s">
        <v>118</v>
      </c>
      <c r="N52" s="44"/>
      <c r="O52" s="45" t="s">
        <v>119</v>
      </c>
      <c r="P52" s="45" t="s">
        <v>168</v>
      </c>
    </row>
    <row r="53" spans="1:16" ht="12.75" customHeight="1" thickBot="1" x14ac:dyDescent="0.25">
      <c r="A53" s="9" t="str">
        <f t="shared" si="0"/>
        <v> AC 68.9 </v>
      </c>
      <c r="B53" s="20" t="str">
        <f t="shared" si="1"/>
        <v>I</v>
      </c>
      <c r="C53" s="9">
        <f t="shared" si="2"/>
        <v>32285.85</v>
      </c>
      <c r="D53" s="8" t="str">
        <f t="shared" si="3"/>
        <v>vis</v>
      </c>
      <c r="E53" s="42">
        <f>VLOOKUP(C53,Active!C$21:E$973,3,FALSE)</f>
        <v>-352.99321210091676</v>
      </c>
      <c r="F53" s="20" t="s">
        <v>66</v>
      </c>
      <c r="G53" s="8" t="str">
        <f t="shared" si="4"/>
        <v>32285.85</v>
      </c>
      <c r="H53" s="9">
        <f t="shared" si="5"/>
        <v>-353</v>
      </c>
      <c r="I53" s="43" t="s">
        <v>169</v>
      </c>
      <c r="J53" s="44" t="s">
        <v>170</v>
      </c>
      <c r="K53" s="43">
        <v>-353</v>
      </c>
      <c r="L53" s="43" t="s">
        <v>171</v>
      </c>
      <c r="M53" s="44" t="s">
        <v>118</v>
      </c>
      <c r="N53" s="44"/>
      <c r="O53" s="45" t="s">
        <v>172</v>
      </c>
      <c r="P53" s="45" t="s">
        <v>173</v>
      </c>
    </row>
    <row r="54" spans="1:16" ht="12.75" customHeight="1" thickBot="1" x14ac:dyDescent="0.25">
      <c r="A54" s="9" t="str">
        <f t="shared" si="0"/>
        <v> PZ 12.262 </v>
      </c>
      <c r="B54" s="20" t="str">
        <f t="shared" si="1"/>
        <v>I</v>
      </c>
      <c r="C54" s="9">
        <f t="shared" si="2"/>
        <v>32346.394</v>
      </c>
      <c r="D54" s="8" t="str">
        <f t="shared" si="3"/>
        <v>vis</v>
      </c>
      <c r="E54" s="42">
        <f>VLOOKUP(C54,Active!C$21:E$973,3,FALSE)</f>
        <v>-341.00199580945161</v>
      </c>
      <c r="F54" s="20" t="s">
        <v>66</v>
      </c>
      <c r="G54" s="8" t="str">
        <f t="shared" si="4"/>
        <v>32346.394</v>
      </c>
      <c r="H54" s="9">
        <f t="shared" si="5"/>
        <v>-341</v>
      </c>
      <c r="I54" s="43" t="s">
        <v>174</v>
      </c>
      <c r="J54" s="44" t="s">
        <v>175</v>
      </c>
      <c r="K54" s="43">
        <v>-341</v>
      </c>
      <c r="L54" s="43" t="s">
        <v>176</v>
      </c>
      <c r="M54" s="44" t="s">
        <v>118</v>
      </c>
      <c r="N54" s="44"/>
      <c r="O54" s="45" t="s">
        <v>172</v>
      </c>
      <c r="P54" s="45" t="s">
        <v>177</v>
      </c>
    </row>
    <row r="55" spans="1:16" ht="12.75" customHeight="1" thickBot="1" x14ac:dyDescent="0.25">
      <c r="A55" s="9" t="str">
        <f t="shared" si="0"/>
        <v> SAC 22.86 </v>
      </c>
      <c r="B55" s="20" t="str">
        <f t="shared" si="1"/>
        <v>I</v>
      </c>
      <c r="C55" s="9">
        <f t="shared" si="2"/>
        <v>33568.31</v>
      </c>
      <c r="D55" s="8" t="str">
        <f t="shared" si="3"/>
        <v>vis</v>
      </c>
      <c r="E55" s="42">
        <f>VLOOKUP(C55,Active!C$21:E$973,3,FALSE)</f>
        <v>-98.991903215610677</v>
      </c>
      <c r="F55" s="20" t="s">
        <v>66</v>
      </c>
      <c r="G55" s="8" t="str">
        <f t="shared" si="4"/>
        <v>33568.31</v>
      </c>
      <c r="H55" s="9">
        <f t="shared" si="5"/>
        <v>-99</v>
      </c>
      <c r="I55" s="43" t="s">
        <v>178</v>
      </c>
      <c r="J55" s="44" t="s">
        <v>179</v>
      </c>
      <c r="K55" s="43">
        <v>-99</v>
      </c>
      <c r="L55" s="43" t="s">
        <v>180</v>
      </c>
      <c r="M55" s="44" t="s">
        <v>118</v>
      </c>
      <c r="N55" s="44"/>
      <c r="O55" s="45" t="s">
        <v>119</v>
      </c>
      <c r="P55" s="45" t="s">
        <v>181</v>
      </c>
    </row>
    <row r="56" spans="1:16" ht="12.75" customHeight="1" thickBot="1" x14ac:dyDescent="0.25">
      <c r="A56" s="9" t="str">
        <f t="shared" si="0"/>
        <v> SAC 24.87 </v>
      </c>
      <c r="B56" s="20" t="str">
        <f t="shared" si="1"/>
        <v>I</v>
      </c>
      <c r="C56" s="9">
        <f t="shared" si="2"/>
        <v>34068.1</v>
      </c>
      <c r="D56" s="8" t="str">
        <f t="shared" si="3"/>
        <v>vis</v>
      </c>
      <c r="E56" s="42">
        <f>VLOOKUP(C56,Active!C$21:E$973,3,FALSE)</f>
        <v>-4.5553312420100207E-3</v>
      </c>
      <c r="F56" s="20" t="s">
        <v>66</v>
      </c>
      <c r="G56" s="8" t="str">
        <f t="shared" si="4"/>
        <v>34068.100</v>
      </c>
      <c r="H56" s="9">
        <f t="shared" si="5"/>
        <v>0</v>
      </c>
      <c r="I56" s="43" t="s">
        <v>182</v>
      </c>
      <c r="J56" s="44" t="s">
        <v>183</v>
      </c>
      <c r="K56" s="43">
        <v>0</v>
      </c>
      <c r="L56" s="43" t="s">
        <v>184</v>
      </c>
      <c r="M56" s="44" t="s">
        <v>118</v>
      </c>
      <c r="N56" s="44"/>
      <c r="O56" s="45" t="s">
        <v>119</v>
      </c>
      <c r="P56" s="45" t="s">
        <v>168</v>
      </c>
    </row>
    <row r="57" spans="1:16" ht="12.75" customHeight="1" thickBot="1" x14ac:dyDescent="0.25">
      <c r="A57" s="9" t="str">
        <f t="shared" si="0"/>
        <v> ASS 2.448 </v>
      </c>
      <c r="B57" s="20" t="str">
        <f t="shared" si="1"/>
        <v>I</v>
      </c>
      <c r="C57" s="9">
        <f t="shared" si="2"/>
        <v>39516.038</v>
      </c>
      <c r="D57" s="8" t="str">
        <f t="shared" si="3"/>
        <v>vis</v>
      </c>
      <c r="E57" s="42">
        <f>VLOOKUP(C57,Active!C$21:E$973,3,FALSE)</f>
        <v>1079.0024957471528</v>
      </c>
      <c r="F57" s="20" t="s">
        <v>66</v>
      </c>
      <c r="G57" s="8" t="str">
        <f t="shared" si="4"/>
        <v>39516.038</v>
      </c>
      <c r="H57" s="9">
        <f t="shared" si="5"/>
        <v>1079</v>
      </c>
      <c r="I57" s="43" t="s">
        <v>185</v>
      </c>
      <c r="J57" s="44" t="s">
        <v>186</v>
      </c>
      <c r="K57" s="43">
        <v>1079</v>
      </c>
      <c r="L57" s="43" t="s">
        <v>187</v>
      </c>
      <c r="M57" s="44" t="s">
        <v>188</v>
      </c>
      <c r="N57" s="44" t="s">
        <v>189</v>
      </c>
      <c r="O57" s="45" t="s">
        <v>190</v>
      </c>
      <c r="P57" s="45" t="s">
        <v>191</v>
      </c>
    </row>
    <row r="58" spans="1:16" x14ac:dyDescent="0.2">
      <c r="B58" s="20"/>
      <c r="E58" s="42"/>
      <c r="F58" s="20"/>
    </row>
    <row r="59" spans="1:16" x14ac:dyDescent="0.2">
      <c r="B59" s="20"/>
      <c r="E59" s="42"/>
      <c r="F59" s="20"/>
    </row>
    <row r="60" spans="1:16" x14ac:dyDescent="0.2">
      <c r="B60" s="20"/>
      <c r="E60" s="42"/>
      <c r="F60" s="20"/>
    </row>
    <row r="61" spans="1:16" x14ac:dyDescent="0.2">
      <c r="B61" s="20"/>
      <c r="E61" s="42"/>
      <c r="F61" s="20"/>
    </row>
    <row r="62" spans="1:16" x14ac:dyDescent="0.2">
      <c r="B62" s="20"/>
      <c r="E62" s="42"/>
      <c r="F62" s="20"/>
    </row>
    <row r="63" spans="1:16" x14ac:dyDescent="0.2">
      <c r="B63" s="20"/>
      <c r="E63" s="42"/>
      <c r="F63" s="20"/>
    </row>
    <row r="64" spans="1:16" x14ac:dyDescent="0.2">
      <c r="B64" s="20"/>
      <c r="E64" s="42"/>
      <c r="F64" s="20"/>
    </row>
    <row r="65" spans="2:6" x14ac:dyDescent="0.2">
      <c r="B65" s="20"/>
      <c r="E65" s="42"/>
      <c r="F65" s="20"/>
    </row>
    <row r="66" spans="2:6" x14ac:dyDescent="0.2">
      <c r="B66" s="20"/>
      <c r="E66" s="42"/>
      <c r="F66" s="20"/>
    </row>
    <row r="67" spans="2:6" x14ac:dyDescent="0.2">
      <c r="B67" s="20"/>
      <c r="E67" s="42"/>
      <c r="F67" s="20"/>
    </row>
    <row r="68" spans="2:6" x14ac:dyDescent="0.2">
      <c r="B68" s="20"/>
      <c r="E68" s="42"/>
      <c r="F68" s="20"/>
    </row>
    <row r="69" spans="2:6" x14ac:dyDescent="0.2">
      <c r="B69" s="20"/>
      <c r="E69" s="42"/>
      <c r="F69" s="20"/>
    </row>
    <row r="70" spans="2:6" x14ac:dyDescent="0.2">
      <c r="B70" s="20"/>
      <c r="E70" s="42"/>
      <c r="F70" s="20"/>
    </row>
    <row r="71" spans="2:6" x14ac:dyDescent="0.2">
      <c r="B71" s="20"/>
      <c r="E71" s="42"/>
      <c r="F71" s="20"/>
    </row>
    <row r="72" spans="2:6" x14ac:dyDescent="0.2">
      <c r="B72" s="20"/>
      <c r="E72" s="42"/>
      <c r="F72" s="20"/>
    </row>
    <row r="73" spans="2:6" x14ac:dyDescent="0.2">
      <c r="B73" s="20"/>
      <c r="E73" s="42"/>
      <c r="F73" s="20"/>
    </row>
    <row r="74" spans="2:6" x14ac:dyDescent="0.2">
      <c r="B74" s="20"/>
      <c r="E74" s="42"/>
      <c r="F74" s="20"/>
    </row>
    <row r="75" spans="2:6" x14ac:dyDescent="0.2">
      <c r="B75" s="20"/>
      <c r="F75" s="20"/>
    </row>
    <row r="76" spans="2:6" x14ac:dyDescent="0.2">
      <c r="B76" s="20"/>
      <c r="F76" s="20"/>
    </row>
    <row r="77" spans="2:6" x14ac:dyDescent="0.2">
      <c r="B77" s="20"/>
      <c r="F77" s="20"/>
    </row>
    <row r="78" spans="2:6" x14ac:dyDescent="0.2">
      <c r="B78" s="20"/>
      <c r="F78" s="20"/>
    </row>
    <row r="79" spans="2:6" x14ac:dyDescent="0.2">
      <c r="B79" s="20"/>
      <c r="F79" s="20"/>
    </row>
    <row r="80" spans="2:6" x14ac:dyDescent="0.2">
      <c r="B80" s="20"/>
      <c r="F80" s="20"/>
    </row>
    <row r="81" spans="2:6" x14ac:dyDescent="0.2">
      <c r="B81" s="20"/>
      <c r="F81" s="20"/>
    </row>
    <row r="82" spans="2:6" x14ac:dyDescent="0.2">
      <c r="B82" s="20"/>
      <c r="F82" s="20"/>
    </row>
    <row r="83" spans="2:6" x14ac:dyDescent="0.2">
      <c r="B83" s="20"/>
      <c r="F83" s="20"/>
    </row>
    <row r="84" spans="2:6" x14ac:dyDescent="0.2">
      <c r="B84" s="20"/>
      <c r="F84" s="20"/>
    </row>
    <row r="85" spans="2:6" x14ac:dyDescent="0.2">
      <c r="B85" s="20"/>
      <c r="F85" s="20"/>
    </row>
    <row r="86" spans="2:6" x14ac:dyDescent="0.2">
      <c r="B86" s="20"/>
      <c r="F86" s="20"/>
    </row>
    <row r="87" spans="2:6" x14ac:dyDescent="0.2">
      <c r="B87" s="20"/>
      <c r="F87" s="20"/>
    </row>
    <row r="88" spans="2:6" x14ac:dyDescent="0.2">
      <c r="B88" s="20"/>
      <c r="F88" s="20"/>
    </row>
    <row r="89" spans="2:6" x14ac:dyDescent="0.2">
      <c r="B89" s="20"/>
      <c r="F89" s="20"/>
    </row>
    <row r="90" spans="2:6" x14ac:dyDescent="0.2">
      <c r="B90" s="20"/>
      <c r="F90" s="20"/>
    </row>
    <row r="91" spans="2:6" x14ac:dyDescent="0.2">
      <c r="B91" s="20"/>
      <c r="F91" s="20"/>
    </row>
    <row r="92" spans="2:6" x14ac:dyDescent="0.2">
      <c r="B92" s="20"/>
      <c r="F92" s="20"/>
    </row>
    <row r="93" spans="2:6" x14ac:dyDescent="0.2">
      <c r="B93" s="20"/>
      <c r="F93" s="20"/>
    </row>
    <row r="94" spans="2:6" x14ac:dyDescent="0.2">
      <c r="B94" s="20"/>
      <c r="F94" s="20"/>
    </row>
    <row r="95" spans="2:6" x14ac:dyDescent="0.2">
      <c r="B95" s="20"/>
      <c r="F95" s="20"/>
    </row>
    <row r="96" spans="2:6" x14ac:dyDescent="0.2">
      <c r="B96" s="20"/>
      <c r="F96" s="20"/>
    </row>
    <row r="97" spans="2:6" x14ac:dyDescent="0.2">
      <c r="B97" s="20"/>
      <c r="F97" s="20"/>
    </row>
    <row r="98" spans="2:6" x14ac:dyDescent="0.2">
      <c r="B98" s="20"/>
      <c r="F98" s="20"/>
    </row>
    <row r="99" spans="2:6" x14ac:dyDescent="0.2">
      <c r="B99" s="20"/>
      <c r="F99" s="20"/>
    </row>
    <row r="100" spans="2:6" x14ac:dyDescent="0.2">
      <c r="B100" s="20"/>
      <c r="F100" s="20"/>
    </row>
    <row r="101" spans="2:6" x14ac:dyDescent="0.2">
      <c r="B101" s="20"/>
      <c r="F101" s="20"/>
    </row>
    <row r="102" spans="2:6" x14ac:dyDescent="0.2">
      <c r="B102" s="20"/>
      <c r="F102" s="20"/>
    </row>
    <row r="103" spans="2:6" x14ac:dyDescent="0.2">
      <c r="B103" s="20"/>
      <c r="F103" s="20"/>
    </row>
    <row r="104" spans="2:6" x14ac:dyDescent="0.2">
      <c r="B104" s="20"/>
      <c r="F104" s="20"/>
    </row>
    <row r="105" spans="2:6" x14ac:dyDescent="0.2">
      <c r="B105" s="20"/>
      <c r="F105" s="20"/>
    </row>
    <row r="106" spans="2:6" x14ac:dyDescent="0.2">
      <c r="B106" s="20"/>
      <c r="F106" s="20"/>
    </row>
    <row r="107" spans="2:6" x14ac:dyDescent="0.2">
      <c r="B107" s="20"/>
      <c r="F107" s="20"/>
    </row>
    <row r="108" spans="2:6" x14ac:dyDescent="0.2">
      <c r="B108" s="20"/>
      <c r="F108" s="20"/>
    </row>
    <row r="109" spans="2:6" x14ac:dyDescent="0.2">
      <c r="B109" s="20"/>
      <c r="F109" s="20"/>
    </row>
    <row r="110" spans="2:6" x14ac:dyDescent="0.2">
      <c r="B110" s="20"/>
      <c r="F110" s="20"/>
    </row>
    <row r="111" spans="2:6" x14ac:dyDescent="0.2">
      <c r="B111" s="20"/>
      <c r="F111" s="20"/>
    </row>
    <row r="112" spans="2: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</sheetData>
  <phoneticPr fontId="8" type="noConversion"/>
  <hyperlinks>
    <hyperlink ref="P22" r:id="rId1" display="http://www.bav-astro.de/sfs/BAVM_link.php?BAVMnr=20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2023-08-17T06:18:22Z</dcterms:modified>
</cp:coreProperties>
</file>