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542CA69-BCD3-4362-A7C5-FEBE75FEDC99}" xr6:coauthVersionLast="47" xr6:coauthVersionMax="47" xr10:uidLastSave="{00000000-0000-0000-0000-000000000000}"/>
  <bookViews>
    <workbookView xWindow="14175" yWindow="360" windowWidth="14505" windowHeight="1449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/>
  <c r="G45" i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/>
  <c r="K49" i="1" s="1"/>
  <c r="Q49" i="1"/>
  <c r="D9" i="1"/>
  <c r="C9" i="1"/>
  <c r="Q44" i="1"/>
  <c r="C7" i="1"/>
  <c r="E44" i="1"/>
  <c r="F44" i="1"/>
  <c r="C8" i="1"/>
  <c r="E34" i="1"/>
  <c r="F34" i="1"/>
  <c r="G34" i="1"/>
  <c r="K34" i="1"/>
  <c r="E21" i="1"/>
  <c r="F21" i="1"/>
  <c r="G21" i="1"/>
  <c r="H21" i="1"/>
  <c r="E23" i="1"/>
  <c r="F23" i="1"/>
  <c r="G23" i="1"/>
  <c r="K23" i="1"/>
  <c r="E25" i="1"/>
  <c r="F25" i="1"/>
  <c r="G25" i="1"/>
  <c r="K25" i="1"/>
  <c r="E27" i="1"/>
  <c r="F27" i="1"/>
  <c r="G27" i="1"/>
  <c r="K27" i="1"/>
  <c r="E28" i="1"/>
  <c r="F28" i="1"/>
  <c r="E29" i="1"/>
  <c r="F29" i="1"/>
  <c r="G29" i="1"/>
  <c r="K29" i="1"/>
  <c r="E30" i="1"/>
  <c r="F30" i="1"/>
  <c r="G30" i="1"/>
  <c r="K30" i="1"/>
  <c r="E31" i="1"/>
  <c r="F31" i="1"/>
  <c r="G31" i="1"/>
  <c r="J31" i="1"/>
  <c r="E32" i="1"/>
  <c r="F32" i="1"/>
  <c r="G32" i="1"/>
  <c r="E33" i="1"/>
  <c r="F33" i="1"/>
  <c r="G33" i="1"/>
  <c r="K33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E41" i="1"/>
  <c r="F41" i="1"/>
  <c r="G41" i="1"/>
  <c r="K41" i="1"/>
  <c r="E42" i="1"/>
  <c r="F42" i="1"/>
  <c r="G42" i="1"/>
  <c r="K42" i="1"/>
  <c r="E43" i="1"/>
  <c r="F43" i="1"/>
  <c r="G43" i="1"/>
  <c r="K43" i="1"/>
  <c r="E22" i="1"/>
  <c r="F22" i="1"/>
  <c r="U22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J32" i="1"/>
  <c r="Q32" i="1"/>
  <c r="Q33" i="1"/>
  <c r="Q34" i="1"/>
  <c r="Q35" i="1"/>
  <c r="Q36" i="1"/>
  <c r="Q37" i="1"/>
  <c r="Q38" i="1"/>
  <c r="Q39" i="1"/>
  <c r="K40" i="1"/>
  <c r="Q40" i="1"/>
  <c r="Q41" i="1"/>
  <c r="Q42" i="1"/>
  <c r="Q43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E15" i="2"/>
  <c r="D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E20" i="2"/>
  <c r="D20" i="2"/>
  <c r="E24" i="1"/>
  <c r="G44" i="1"/>
  <c r="G28" i="1"/>
  <c r="K28" i="1"/>
  <c r="E26" i="1"/>
  <c r="F26" i="1"/>
  <c r="G26" i="1"/>
  <c r="J26" i="1"/>
  <c r="K44" i="1"/>
  <c r="F24" i="1"/>
  <c r="G24" i="1"/>
  <c r="K24" i="1"/>
  <c r="E18" i="2"/>
  <c r="E13" i="2"/>
  <c r="C11" i="1"/>
  <c r="C12" i="1"/>
  <c r="O47" i="1" l="1"/>
  <c r="O45" i="1"/>
  <c r="O49" i="1"/>
  <c r="O48" i="1"/>
  <c r="O46" i="1"/>
  <c r="C16" i="1"/>
  <c r="D18" i="1" s="1"/>
  <c r="O23" i="1"/>
  <c r="O29" i="1"/>
  <c r="O43" i="1"/>
  <c r="O31" i="1"/>
  <c r="O37" i="1"/>
  <c r="O25" i="1"/>
  <c r="O39" i="1"/>
  <c r="O32" i="1"/>
  <c r="O33" i="1"/>
  <c r="O34" i="1"/>
  <c r="O22" i="1"/>
  <c r="O36" i="1"/>
  <c r="O21" i="1"/>
  <c r="O24" i="1"/>
  <c r="O42" i="1"/>
  <c r="O35" i="1"/>
  <c r="O30" i="1"/>
  <c r="O40" i="1"/>
  <c r="O41" i="1"/>
  <c r="O38" i="1"/>
  <c r="O27" i="1"/>
  <c r="C15" i="1"/>
  <c r="O44" i="1"/>
  <c r="O26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<sst xmlns="http://schemas.openxmlformats.org/spreadsheetml/2006/main" count="202" uniqueCount="122">
  <si>
    <t>V0864 Mon / GSC 4824-0153</t>
  </si>
  <si>
    <t>System Type:</t>
  </si>
  <si>
    <t>EW</t>
  </si>
  <si>
    <t>IBVS 5425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</si>
  <si>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</si>
  <si>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</si>
  <si>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</si>
  <si>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</si>
  <si>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</si>
  <si>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</si>
  <si>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</si>
  <si>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</si>
  <si>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</si>
  <si>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</si>
  <si>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</si>
  <si>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</si>
  <si>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</si>
  <si>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</si>
  <si>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</si>
  <si>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</si>
  <si>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</si>
  <si>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</si>
  <si>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</si>
  <si>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</si>
  <si>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</si>
  <si>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</si>
  <si>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</si>
  <si>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</si>
  <si>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</si>
  <si>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</si>
  <si>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</si>
  <si>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</si>
  <si>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</si>
  <si>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</si>
  <si>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</si>
  <si>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</si>
  <si>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</si>
  <si>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</si>
  <si>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</si>
  <si>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</si>
  <si>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</si>
  <si>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</si>
  <si>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</si>
  <si>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5425</t>
  </si>
  <si>
    <t>IBVS 6196</t>
  </si>
  <si>
    <t>I</t>
  </si>
  <si>
    <t>IBVS 5894</t>
  </si>
  <si>
    <t>II</t>
  </si>
  <si>
    <t>VSB 51 </t>
  </si>
  <si>
    <t>IBVS 5992</t>
  </si>
  <si>
    <t>IBVS 6010</t>
  </si>
  <si>
    <t>OEJV 0160</t>
  </si>
  <si>
    <t>VSB 56 </t>
  </si>
  <si>
    <t>IBVS 6094</t>
  </si>
  <si>
    <t>ii</t>
  </si>
  <si>
    <t>IBVS 6149</t>
  </si>
  <si>
    <t>VSB 59 </t>
  </si>
  <si>
    <t>VSB 060</t>
  </si>
  <si>
    <t>Ic</t>
  </si>
  <si>
    <t>OEJV 0179</t>
  </si>
  <si>
    <t>VSB-063</t>
  </si>
  <si>
    <t>V</t>
  </si>
  <si>
    <t>VSB-64</t>
  </si>
  <si>
    <t>IBVS 6244</t>
  </si>
  <si>
    <t>OEJV 0211</t>
  </si>
  <si>
    <t>VSB 067</t>
  </si>
  <si>
    <t>cG</t>
  </si>
  <si>
    <t>VSB 069</t>
  </si>
  <si>
    <t>Ha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</si>
  <si>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</si>
  <si>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</si>
  <si>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</si>
  <si>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</si>
  <si>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</si>
  <si>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</si>
  <si>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2454888.7382 </t>
  </si>
  <si>
    <t> 26.02.2009 05:43 </t>
  </si>
  <si>
    <t> -0.0045 </t>
  </si>
  <si>
    <t>C </t>
  </si>
  <si>
    <t> R.Diethelm </t>
  </si>
  <si>
    <t>IBVS 5894 </t>
  </si>
  <si>
    <t>2455621.7187 </t>
  </si>
  <si>
    <t> 01.03.2011 05:14 </t>
  </si>
  <si>
    <t> -0.0073 </t>
  </si>
  <si>
    <t>IBVS 5992 </t>
  </si>
  <si>
    <t>2455629.4237 </t>
  </si>
  <si>
    <t> 08.03.2011 22:10 </t>
  </si>
  <si>
    <t> -0.0084 </t>
  </si>
  <si>
    <t> F.Agerer </t>
  </si>
  <si>
    <t>BAVM 220 </t>
  </si>
  <si>
    <t>2456245.55764 </t>
  </si>
  <si>
    <t> 14.11.2012 01:23 </t>
  </si>
  <si>
    <t> -0.01052 </t>
  </si>
  <si>
    <t> M.Mašek </t>
  </si>
  <si>
    <t>OEJV 0160 </t>
  </si>
  <si>
    <t>2456354.3415 </t>
  </si>
  <si>
    <t> 02.03.2013 20:11 </t>
  </si>
  <si>
    <t> -0.0093 </t>
  </si>
  <si>
    <t> G.Marino </t>
  </si>
  <si>
    <t>IBVS 6094 </t>
  </si>
  <si>
    <t>2456726.3868 </t>
  </si>
  <si>
    <t> 09.03.2014 21:16 </t>
  </si>
  <si>
    <t> -0.0112 </t>
  </si>
  <si>
    <t>-I</t>
  </si>
  <si>
    <t>BAVM 238 </t>
  </si>
  <si>
    <t>2456728.3585 </t>
  </si>
  <si>
    <t> 11.03.2014 20:36 </t>
  </si>
  <si>
    <t>8975</t>
  </si>
  <si>
    <t> -0.0108 </t>
  </si>
  <si>
    <t>2455553.0770 </t>
  </si>
  <si>
    <t> 22.12.2010 13:50 </t>
  </si>
  <si>
    <t> -0.0102 </t>
  </si>
  <si>
    <t>Rc</t>
  </si>
  <si>
    <t> K.Nagai </t>
  </si>
  <si>
    <t>2456308.9990 </t>
  </si>
  <si>
    <t> 16.01.2013 11:58 </t>
  </si>
  <si>
    <t> -0.0107 </t>
  </si>
  <si>
    <t>2456994.1321 </t>
  </si>
  <si>
    <t> 02.12.2014 15:10 </t>
  </si>
  <si>
    <t>9716.5</t>
  </si>
  <si>
    <t>RHN 2021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</si>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</sst>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\$#,##0_);&quot;($&quot;#,##0\)"/>
    <numFmt numFmtId="173" formatCode="m/d/yyyy\ h:mm"/>
    <numFmt numFmtId="175" formatCode="0.000"/>
    <numFmt numFmtId="17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72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" fillId="0" borderId="0"/>
    <xf numFmtId="0" fontId="15" fillId="0" borderId="0"/>
  </cellStyleXfs>
  <cellXfs count="7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73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8" applyFont="1" applyAlignment="1">
      <alignment wrapText="1"/>
    </xf>
    <xf numFmtId="0" fontId="9" fillId="0" borderId="0" xfId="8" applyFont="1" applyAlignment="1">
      <alignment horizontal="center" wrapText="1"/>
    </xf>
    <xf numFmtId="0" fontId="9" fillId="0" borderId="0" xfId="8" applyFont="1" applyAlignment="1">
      <alignment horizontal="left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10" fillId="0" borderId="0" xfId="9" applyFont="1" applyAlignment="1">
      <alignment horizontal="lef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0" fontId="10" fillId="0" borderId="0" xfId="6" applyFont="1"/>
    <xf numFmtId="0" fontId="10" fillId="0" borderId="0" xfId="6" applyFont="1" applyBorder="1" applyAlignment="1">
      <alignment horizontal="center"/>
    </xf>
    <xf numFmtId="175" fontId="10" fillId="0" borderId="0" xfId="6" applyNumberFormat="1" applyFont="1" applyFill="1" applyBorder="1" applyAlignment="1" applyProtection="1">
      <alignment horizontal="left" vertical="top"/>
    </xf>
    <xf numFmtId="0" fontId="10" fillId="0" borderId="0" xfId="6" applyNumberFormat="1" applyFont="1" applyFill="1" applyBorder="1" applyAlignment="1" applyProtection="1">
      <alignment horizontal="left" vertical="top"/>
    </xf>
    <xf numFmtId="0" fontId="9" fillId="0" borderId="0" xfId="7" applyFont="1" applyAlignment="1">
      <alignment horizontal="center" wrapText="1"/>
    </xf>
    <xf numFmtId="0" fontId="9" fillId="0" borderId="0" xfId="7" applyFont="1" applyAlignment="1">
      <alignment horizontal="left" wrapText="1"/>
    </xf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3" fillId="2" borderId="10" xfId="5" applyNumberFormat="1" applyFont="1" applyFill="1" applyBorder="1" applyAlignment="1" applyProtection="1">
      <alignment horizontal="right" vertical="top" wrapText="1"/>
    </xf>
    <xf numFmtId="0" fontId="14" fillId="0" borderId="0" xfId="0" applyNumberFormat="1" applyFont="1" applyAlignment="1">
      <alignment horizontal="left" vertical="center"/>
    </xf>
    <xf numFmtId="14" fontId="0" fillId="0" borderId="0" xfId="0" applyNumberFormat="1" applyAlignment="1"/>
    <xf numFmtId="14" fontId="0" fillId="0" borderId="3" xfId="0" applyNumberFormat="1" applyFont="1" applyBorder="1" applyAlignment="1">
      <alignment horizontal="center"/>
    </xf>
    <xf numFmtId="0" fontId="14" fillId="0" borderId="0" xfId="6" applyFo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77" fontId="16" fillId="0" borderId="0" xfId="0" applyNumberFormat="1" applyFont="1" applyAlignment="1" applyProtection="1">
      <alignment vertical="center" wrapText="1"/>
      <protection locked="0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V0864 Mon - O-C Diagr.</a:t>
            </a:r>
          </a:p>
        </c:rich>
      </c:tx>
      <c:layout>
        <c:manualLayout>
          <c:xMode val="edge"/>
          <c:yMode val="edge"/>
          <c:x val="0.3441037317831232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125"/>
          <c:w val="0.81744814078287564"/>
          <c:h val="0.696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Active!$H$21:$H$943</c:f>
              <c:numCache>
                <c:formatCode>General</c:formatCode>
                <c:ptCount val="92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2-46FC-A74B-9FEA775ADE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Active!$I$21:$I$943</c:f>
              <c:numCache>
                <c:formatCode>General</c:formatCode>
                <c:ptCount val="9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92-46FC-A74B-9FEA775ADE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Active!$J$21:$J$943</c:f>
              <c:numCache>
                <c:formatCode>General</c:formatCode>
                <c:ptCount val="923"/>
                <c:pt idx="5">
                  <c:v>-3.8390000001527369E-2</c:v>
                </c:pt>
                <c:pt idx="10">
                  <c:v>-4.996999999275431E-2</c:v>
                </c:pt>
                <c:pt idx="11">
                  <c:v>-5.221499999606749E-2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92-46FC-A74B-9FEA775ADE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Active!$K$21:$K$943</c:f>
              <c:numCache>
                <c:formatCode>General</c:formatCode>
                <c:ptCount val="923"/>
                <c:pt idx="2">
                  <c:v>-2.8294999996433035E-2</c:v>
                </c:pt>
                <c:pt idx="3">
                  <c:v>-3.9499999998952262E-2</c:v>
                </c:pt>
                <c:pt idx="4">
                  <c:v>-3.7145000002055895E-2</c:v>
                </c:pt>
                <c:pt idx="6">
                  <c:v>-4.5619999997143168E-2</c:v>
                </c:pt>
                <c:pt idx="7">
                  <c:v>-4.6369999996386468E-2</c:v>
                </c:pt>
                <c:pt idx="8">
                  <c:v>-4.5264999993378296E-2</c:v>
                </c:pt>
                <c:pt idx="9">
                  <c:v>-5.0304999997024424E-2</c:v>
                </c:pt>
                <c:pt idx="12">
                  <c:v>-5.4424999994807877E-2</c:v>
                </c:pt>
                <c:pt idx="13">
                  <c:v>-5.5714999994961545E-2</c:v>
                </c:pt>
                <c:pt idx="14">
                  <c:v>-5.6120000001101289E-2</c:v>
                </c:pt>
                <c:pt idx="15">
                  <c:v>-5.7119999997667037E-2</c:v>
                </c:pt>
                <c:pt idx="16">
                  <c:v>-6.1359999999694992E-2</c:v>
                </c:pt>
                <c:pt idx="17">
                  <c:v>-5.8734999998705462E-2</c:v>
                </c:pt>
                <c:pt idx="18">
                  <c:v>-6.0324999933072831E-2</c:v>
                </c:pt>
                <c:pt idx="19">
                  <c:v>-5.8239999998477288E-2</c:v>
                </c:pt>
                <c:pt idx="20">
                  <c:v>-6.6254999997909181E-2</c:v>
                </c:pt>
                <c:pt idx="21">
                  <c:v>-6.6155000000435393E-2</c:v>
                </c:pt>
                <c:pt idx="22">
                  <c:v>-6.6054999995685648E-2</c:v>
                </c:pt>
                <c:pt idx="23">
                  <c:v>-6.6279999999096617E-2</c:v>
                </c:pt>
                <c:pt idx="24">
                  <c:v>-6.6160000096715521E-2</c:v>
                </c:pt>
                <c:pt idx="25">
                  <c:v>-6.4359999894804787E-2</c:v>
                </c:pt>
                <c:pt idx="26">
                  <c:v>-6.6289999936998356E-2</c:v>
                </c:pt>
                <c:pt idx="27">
                  <c:v>-6.6089999811083544E-2</c:v>
                </c:pt>
                <c:pt idx="28">
                  <c:v>-6.6089999811083544E-2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92-46FC-A74B-9FEA775ADE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Active!$L$21:$L$43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92-46FC-A74B-9FEA775ADE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Active!$M$21:$M$43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92-46FC-A74B-9FEA775ADE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Active!$N$21:$N$43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92-46FC-A74B-9FEA775ADE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Active!$O$21:$O$943</c:f>
              <c:numCache>
                <c:formatCode>General</c:formatCode>
                <c:ptCount val="923"/>
                <c:pt idx="0">
                  <c:v>-3.5908544223411429E-2</c:v>
                </c:pt>
                <c:pt idx="1">
                  <c:v>-3.7664223330102373E-2</c:v>
                </c:pt>
                <c:pt idx="2">
                  <c:v>-4.5617661211015556E-2</c:v>
                </c:pt>
                <c:pt idx="3">
                  <c:v>-4.8521856859611426E-2</c:v>
                </c:pt>
                <c:pt idx="4">
                  <c:v>-4.8821912681950838E-2</c:v>
                </c:pt>
                <c:pt idx="5">
                  <c:v>-4.8855600411351868E-2</c:v>
                </c:pt>
                <c:pt idx="6">
                  <c:v>-5.154905189229942E-2</c:v>
                </c:pt>
                <c:pt idx="7">
                  <c:v>-5.1826388083182323E-2</c:v>
                </c:pt>
                <c:pt idx="8">
                  <c:v>-5.2024597281751184E-2</c:v>
                </c:pt>
                <c:pt idx="9">
                  <c:v>-5.3651009519810264E-2</c:v>
                </c:pt>
                <c:pt idx="10">
                  <c:v>-5.3659627311052394E-2</c:v>
                </c:pt>
                <c:pt idx="11">
                  <c:v>-5.4821462257604231E-2</c:v>
                </c:pt>
                <c:pt idx="12">
                  <c:v>-5.500478618039123E-2</c:v>
                </c:pt>
                <c:pt idx="13">
                  <c:v>-5.6427505170909192E-2</c:v>
                </c:pt>
                <c:pt idx="14">
                  <c:v>-5.6722860379843816E-2</c:v>
                </c:pt>
                <c:pt idx="15">
                  <c:v>-5.8039032133186425E-2</c:v>
                </c:pt>
                <c:pt idx="16">
                  <c:v>-5.8239591638457683E-2</c:v>
                </c:pt>
                <c:pt idx="17">
                  <c:v>-5.8337521084390907E-2</c:v>
                </c:pt>
                <c:pt idx="18">
                  <c:v>-5.9772775043988327E-2</c:v>
                </c:pt>
                <c:pt idx="19">
                  <c:v>-6.1461078691877204E-2</c:v>
                </c:pt>
                <c:pt idx="20">
                  <c:v>-6.4517260840561447E-2</c:v>
                </c:pt>
                <c:pt idx="21">
                  <c:v>-6.4517260840561447E-2</c:v>
                </c:pt>
                <c:pt idx="22">
                  <c:v>-6.4517260840561447E-2</c:v>
                </c:pt>
                <c:pt idx="23">
                  <c:v>-6.622123319979964E-2</c:v>
                </c:pt>
                <c:pt idx="24">
                  <c:v>-6.6308977983355805E-2</c:v>
                </c:pt>
                <c:pt idx="25">
                  <c:v>-6.6308977983355805E-2</c:v>
                </c:pt>
                <c:pt idx="26">
                  <c:v>-6.6357550988538697E-2</c:v>
                </c:pt>
                <c:pt idx="27">
                  <c:v>-6.6357550988538697E-2</c:v>
                </c:pt>
                <c:pt idx="28">
                  <c:v>-6.6357550988538697E-2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92-46FC-A74B-9FEA775ADE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Active!$F$21:$F$943</c:f>
              <c:numCache>
                <c:formatCode>General</c:formatCode>
                <c:ptCount val="9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Active!$U$21:$U$943</c:f>
              <c:numCache>
                <c:formatCode>General</c:formatCode>
                <c:ptCount val="923"/>
                <c:pt idx="1">
                  <c:v>5.4284999998344574E-2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92-46FC-A74B-9FEA775AD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6056"/>
        <c:axId val="1"/>
      </c:scatterChart>
      <c:valAx>
        <c:axId val="37707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14930524637563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076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390953150242321E-2"/>
          <c:y val="0.9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390525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4FE13-0DA8-7047-0B09-4A2F10FA9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70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52667.754999999997</v>
      </c>
      <c r="D4" s="6">
        <v>0.35843000000000003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52667.754999999997</v>
      </c>
    </row>
    <row r="8" spans="1:6" x14ac:dyDescent="0.2">
      <c r="A8" s="1" t="s">
        <v>8</v>
      </c>
      <c r="C8" s="1">
        <f>+D4</f>
        <v>0.35843000000000003</v>
      </c>
    </row>
    <row r="9" spans="1:6" x14ac:dyDescent="0.2">
      <c r="A9" s="9" t="s">
        <v>9</v>
      </c>
      <c r="B9" s="10">
        <v>38</v>
      </c>
      <c r="C9" s="11" t="str">
        <f>"F"&amp;B9</f>
        <v>F38</v>
      </c>
      <c r="D9" s="12" t="str">
        <f>"G"&amp;B9</f>
        <v>G38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-3.5908544223411429E-2</v>
      </c>
      <c r="D11" s="3"/>
      <c r="E11"/>
    </row>
    <row r="12" spans="1:6" x14ac:dyDescent="0.2">
      <c r="A12" t="s">
        <v>13</v>
      </c>
      <c r="B12"/>
      <c r="C12" s="14">
        <f ca="1">SLOPE(INDIRECT($D$9):G989,INDIRECT($C$9):F989)</f>
        <v>-1.5668711349316762E-6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(C7+C11)+(C8+C12)*INT(MAX(F21:F3530))</f>
        <v>59633.058832449009</v>
      </c>
      <c r="E15" s="17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0.35842843312886508</v>
      </c>
      <c r="E16" s="17" t="s">
        <v>19</v>
      </c>
      <c r="F16" s="14">
        <f ca="1">NOW()+15018.5+$C$5/24</f>
        <v>60178.748093518516</v>
      </c>
    </row>
    <row r="17" spans="1:21" x14ac:dyDescent="0.2">
      <c r="A17" s="17" t="s">
        <v>20</v>
      </c>
      <c r="B17"/>
      <c r="C17">
        <f>COUNT(C21:C2188)</f>
        <v>29</v>
      </c>
      <c r="E17" s="17" t="s">
        <v>21</v>
      </c>
      <c r="F17" s="14">
        <f ca="1">ROUND(2*(F16-$C$7)/$C$8,0)/2+F15</f>
        <v>20956.5</v>
      </c>
    </row>
    <row r="18" spans="1:21" x14ac:dyDescent="0.2">
      <c r="A18" s="15" t="s">
        <v>22</v>
      </c>
      <c r="B18"/>
      <c r="C18" s="18">
        <f ca="1">+C15</f>
        <v>59633.058832449009</v>
      </c>
      <c r="D18" s="19">
        <f ca="1">+C16</f>
        <v>0.35842843312886508</v>
      </c>
      <c r="E18" s="17" t="s">
        <v>23</v>
      </c>
      <c r="F18" s="12">
        <f ca="1">ROUND(2*(F16-$C$15)/$C$16,0)/2+F15</f>
        <v>1523.5</v>
      </c>
    </row>
    <row r="19" spans="1:21" x14ac:dyDescent="0.2">
      <c r="E19" s="17" t="s">
        <v>24</v>
      </c>
      <c r="F19" s="20">
        <f ca="1">+$C$15+$C$16*F18-15018.5-$C$5/24</f>
        <v>45161.02038365417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71" t="s">
        <v>41</v>
      </c>
      <c r="U20" s="22" t="s">
        <v>42</v>
      </c>
    </row>
    <row r="21" spans="1:21" x14ac:dyDescent="0.2">
      <c r="A21" s="1" t="s">
        <v>43</v>
      </c>
      <c r="C21" s="23">
        <v>52667.754999999997</v>
      </c>
      <c r="D21" s="3" t="s">
        <v>15</v>
      </c>
      <c r="E21" s="1">
        <f t="shared" ref="E21:E38" si="0">+(C21-C$7)/C$8</f>
        <v>0</v>
      </c>
      <c r="F21" s="1">
        <f t="shared" ref="F21:F40" si="1">ROUND(2*E21,0)/2</f>
        <v>0</v>
      </c>
      <c r="G21" s="1">
        <f>+C21-(C$7+F21*C$8)</f>
        <v>0</v>
      </c>
      <c r="H21" s="1">
        <f>+G21</f>
        <v>0</v>
      </c>
      <c r="O21" s="1">
        <f t="shared" ref="O21:O38" ca="1" si="2">+C$11+C$12*$F21</f>
        <v>-3.5908544223411429E-2</v>
      </c>
      <c r="Q21" s="70">
        <f t="shared" ref="Q21:Q38" si="3">+C21-15018.5</f>
        <v>37649.254999999997</v>
      </c>
    </row>
    <row r="22" spans="1:21" x14ac:dyDescent="0.2">
      <c r="A22" s="24" t="s">
        <v>44</v>
      </c>
      <c r="B22" s="25" t="s">
        <v>45</v>
      </c>
      <c r="C22" s="26">
        <v>53069.430099999998</v>
      </c>
      <c r="D22" s="26">
        <v>6.9999999999999999E-4</v>
      </c>
      <c r="E22" s="27">
        <f t="shared" si="0"/>
        <v>1120.6514521663933</v>
      </c>
      <c r="F22" s="1">
        <f t="shared" si="1"/>
        <v>1120.5</v>
      </c>
      <c r="O22" s="1">
        <f t="shared" ca="1" si="2"/>
        <v>-3.7664223330102373E-2</v>
      </c>
      <c r="Q22" s="70">
        <f t="shared" si="3"/>
        <v>38050.930099999998</v>
      </c>
      <c r="U22" s="1">
        <f>+C22-(C$7+F22*C$8)</f>
        <v>5.4284999998344574E-2</v>
      </c>
    </row>
    <row r="23" spans="1:21" x14ac:dyDescent="0.2">
      <c r="A23" s="28" t="s">
        <v>46</v>
      </c>
      <c r="B23" s="29" t="s">
        <v>47</v>
      </c>
      <c r="C23" s="28">
        <v>54888.7382</v>
      </c>
      <c r="D23" s="28">
        <v>4.0000000000000002E-4</v>
      </c>
      <c r="E23" s="1">
        <f t="shared" si="0"/>
        <v>6196.4210585051533</v>
      </c>
      <c r="F23" s="1">
        <f t="shared" si="1"/>
        <v>6196.5</v>
      </c>
      <c r="G23" s="1">
        <f t="shared" ref="G23:G38" si="4">+C23-(C$7+F23*C$8)</f>
        <v>-2.8294999996433035E-2</v>
      </c>
      <c r="K23" s="1">
        <f>+G23</f>
        <v>-2.8294999996433035E-2</v>
      </c>
      <c r="O23" s="1">
        <f t="shared" ca="1" si="2"/>
        <v>-4.5617661211015556E-2</v>
      </c>
      <c r="Q23" s="70">
        <f t="shared" si="3"/>
        <v>39870.2382</v>
      </c>
    </row>
    <row r="24" spans="1:21" x14ac:dyDescent="0.2">
      <c r="A24" s="30" t="s">
        <v>48</v>
      </c>
      <c r="B24" s="31" t="s">
        <v>45</v>
      </c>
      <c r="C24" s="30">
        <v>55553.076999999997</v>
      </c>
      <c r="D24" s="3"/>
      <c r="E24" s="27">
        <f t="shared" si="0"/>
        <v>8049.8897971709957</v>
      </c>
      <c r="F24" s="1">
        <f t="shared" si="1"/>
        <v>8050</v>
      </c>
      <c r="G24" s="1">
        <f t="shared" si="4"/>
        <v>-3.9499999998952262E-2</v>
      </c>
      <c r="K24" s="1">
        <f>+G24</f>
        <v>-3.9499999998952262E-2</v>
      </c>
      <c r="O24" s="1">
        <f t="shared" ca="1" si="2"/>
        <v>-4.8521856859611426E-2</v>
      </c>
      <c r="Q24" s="70">
        <f t="shared" si="3"/>
        <v>40534.576999999997</v>
      </c>
    </row>
    <row r="25" spans="1:21" x14ac:dyDescent="0.2">
      <c r="A25" s="32" t="s">
        <v>49</v>
      </c>
      <c r="B25" s="33" t="s">
        <v>47</v>
      </c>
      <c r="C25" s="32">
        <v>55621.718699999998</v>
      </c>
      <c r="D25" s="32">
        <v>4.0000000000000002E-4</v>
      </c>
      <c r="E25" s="1">
        <f t="shared" si="0"/>
        <v>8241.3963674915613</v>
      </c>
      <c r="F25" s="1">
        <f t="shared" si="1"/>
        <v>8241.5</v>
      </c>
      <c r="G25" s="1">
        <f t="shared" si="4"/>
        <v>-3.7145000002055895E-2</v>
      </c>
      <c r="K25" s="1">
        <f>+G25</f>
        <v>-3.7145000002055895E-2</v>
      </c>
      <c r="O25" s="1">
        <f t="shared" ca="1" si="2"/>
        <v>-4.8821912681950838E-2</v>
      </c>
      <c r="Q25" s="70">
        <f t="shared" si="3"/>
        <v>40603.218699999998</v>
      </c>
    </row>
    <row r="26" spans="1:21" x14ac:dyDescent="0.2">
      <c r="A26" s="32" t="s">
        <v>50</v>
      </c>
      <c r="B26" s="33" t="s">
        <v>45</v>
      </c>
      <c r="C26" s="32">
        <v>55629.423699999999</v>
      </c>
      <c r="D26" s="32">
        <v>8.9999999999999998E-4</v>
      </c>
      <c r="E26" s="27">
        <f t="shared" si="0"/>
        <v>8262.8928940099922</v>
      </c>
      <c r="F26" s="1">
        <f t="shared" si="1"/>
        <v>8263</v>
      </c>
      <c r="G26" s="1">
        <f t="shared" si="4"/>
        <v>-3.8390000001527369E-2</v>
      </c>
      <c r="J26" s="1">
        <f>+G26</f>
        <v>-3.8390000001527369E-2</v>
      </c>
      <c r="O26" s="1">
        <f t="shared" ca="1" si="2"/>
        <v>-4.8855600411351868E-2</v>
      </c>
      <c r="Q26" s="70">
        <f t="shared" si="3"/>
        <v>40610.923699999999</v>
      </c>
    </row>
    <row r="27" spans="1:21" x14ac:dyDescent="0.2">
      <c r="A27" s="34" t="s">
        <v>51</v>
      </c>
      <c r="B27" s="29" t="s">
        <v>45</v>
      </c>
      <c r="C27" s="28">
        <v>56245.557639999999</v>
      </c>
      <c r="D27" s="28">
        <v>6.9999999999999999E-4</v>
      </c>
      <c r="E27" s="27">
        <f t="shared" si="0"/>
        <v>9981.8727227073668</v>
      </c>
      <c r="F27" s="1">
        <f t="shared" si="1"/>
        <v>9982</v>
      </c>
      <c r="G27" s="1">
        <f t="shared" si="4"/>
        <v>-4.5619999997143168E-2</v>
      </c>
      <c r="K27" s="1">
        <f>+G27</f>
        <v>-4.5619999997143168E-2</v>
      </c>
      <c r="O27" s="1">
        <f t="shared" ca="1" si="2"/>
        <v>-5.154905189229942E-2</v>
      </c>
      <c r="Q27" s="70">
        <f t="shared" si="3"/>
        <v>41227.057639999999</v>
      </c>
    </row>
    <row r="28" spans="1:21" x14ac:dyDescent="0.2">
      <c r="A28" s="30" t="s">
        <v>52</v>
      </c>
      <c r="B28" s="31" t="s">
        <v>45</v>
      </c>
      <c r="C28" s="30">
        <v>56308.999000000003</v>
      </c>
      <c r="D28" s="3"/>
      <c r="E28" s="27">
        <f t="shared" si="0"/>
        <v>10158.870630248601</v>
      </c>
      <c r="F28" s="1">
        <f t="shared" si="1"/>
        <v>10159</v>
      </c>
      <c r="G28" s="1">
        <f t="shared" si="4"/>
        <v>-4.6369999996386468E-2</v>
      </c>
      <c r="K28" s="1">
        <f>+G28</f>
        <v>-4.6369999996386468E-2</v>
      </c>
      <c r="O28" s="1">
        <f t="shared" ca="1" si="2"/>
        <v>-5.1826388083182323E-2</v>
      </c>
      <c r="Q28" s="70">
        <f t="shared" si="3"/>
        <v>41290.499000000003</v>
      </c>
    </row>
    <row r="29" spans="1:21" x14ac:dyDescent="0.2">
      <c r="A29" s="35" t="s">
        <v>53</v>
      </c>
      <c r="B29" s="36" t="s">
        <v>54</v>
      </c>
      <c r="C29" s="37">
        <v>56354.341500000002</v>
      </c>
      <c r="D29" s="37">
        <v>4.0000000000000002E-4</v>
      </c>
      <c r="E29" s="27">
        <f t="shared" si="0"/>
        <v>10285.373713137864</v>
      </c>
      <c r="F29" s="1">
        <f t="shared" si="1"/>
        <v>10285.5</v>
      </c>
      <c r="G29" s="1">
        <f t="shared" si="4"/>
        <v>-4.5264999993378296E-2</v>
      </c>
      <c r="K29" s="1">
        <f>+G29</f>
        <v>-4.5264999993378296E-2</v>
      </c>
      <c r="O29" s="1">
        <f t="shared" ca="1" si="2"/>
        <v>-5.2024597281751184E-2</v>
      </c>
      <c r="Q29" s="70">
        <f t="shared" si="3"/>
        <v>41335.841500000002</v>
      </c>
    </row>
    <row r="30" spans="1:21" x14ac:dyDescent="0.2">
      <c r="A30" s="37" t="s">
        <v>55</v>
      </c>
      <c r="B30" s="36" t="s">
        <v>45</v>
      </c>
      <c r="C30" s="37">
        <v>56726.3868</v>
      </c>
      <c r="D30" s="37">
        <v>1.1999999999999999E-3</v>
      </c>
      <c r="E30" s="27">
        <f t="shared" si="0"/>
        <v>11323.359651814866</v>
      </c>
      <c r="F30" s="1">
        <f t="shared" si="1"/>
        <v>11323.5</v>
      </c>
      <c r="G30" s="1">
        <f t="shared" si="4"/>
        <v>-5.0304999997024424E-2</v>
      </c>
      <c r="K30" s="1">
        <f>+G30</f>
        <v>-5.0304999997024424E-2</v>
      </c>
      <c r="O30" s="1">
        <f t="shared" ca="1" si="2"/>
        <v>-5.3651009519810264E-2</v>
      </c>
      <c r="Q30" s="70">
        <f t="shared" si="3"/>
        <v>41707.8868</v>
      </c>
    </row>
    <row r="31" spans="1:21" x14ac:dyDescent="0.2">
      <c r="A31" s="37" t="s">
        <v>55</v>
      </c>
      <c r="B31" s="36" t="s">
        <v>45</v>
      </c>
      <c r="C31" s="37">
        <v>56728.358500000002</v>
      </c>
      <c r="D31" s="37">
        <v>2.0999999999999999E-3</v>
      </c>
      <c r="E31" s="27">
        <f t="shared" si="0"/>
        <v>11328.860586446459</v>
      </c>
      <c r="F31" s="1">
        <f t="shared" si="1"/>
        <v>11329</v>
      </c>
      <c r="G31" s="1">
        <f t="shared" si="4"/>
        <v>-4.996999999275431E-2</v>
      </c>
      <c r="J31" s="1">
        <f>+G31</f>
        <v>-4.996999999275431E-2</v>
      </c>
      <c r="O31" s="1">
        <f t="shared" ca="1" si="2"/>
        <v>-5.3659627311052394E-2</v>
      </c>
      <c r="Q31" s="70">
        <f t="shared" si="3"/>
        <v>41709.858500000002</v>
      </c>
    </row>
    <row r="32" spans="1:21" x14ac:dyDescent="0.2">
      <c r="A32" s="30" t="s">
        <v>56</v>
      </c>
      <c r="B32" s="31" t="s">
        <v>47</v>
      </c>
      <c r="C32" s="30">
        <v>56994.132100000003</v>
      </c>
      <c r="D32" s="3"/>
      <c r="E32" s="27">
        <f t="shared" si="0"/>
        <v>12070.35432301985</v>
      </c>
      <c r="F32" s="1">
        <f t="shared" si="1"/>
        <v>12070.5</v>
      </c>
      <c r="G32" s="1">
        <f t="shared" si="4"/>
        <v>-5.221499999606749E-2</v>
      </c>
      <c r="J32" s="1">
        <f>+G32</f>
        <v>-5.221499999606749E-2</v>
      </c>
      <c r="O32" s="1">
        <f t="shared" ca="1" si="2"/>
        <v>-5.4821462257604231E-2</v>
      </c>
      <c r="Q32" s="70">
        <f t="shared" si="3"/>
        <v>41975.632100000003</v>
      </c>
    </row>
    <row r="33" spans="1:17" x14ac:dyDescent="0.2">
      <c r="A33" s="38" t="s">
        <v>57</v>
      </c>
      <c r="B33" s="39" t="s">
        <v>47</v>
      </c>
      <c r="C33" s="38">
        <v>57036.066200000001</v>
      </c>
      <c r="D33" s="38" t="s">
        <v>58</v>
      </c>
      <c r="E33" s="27">
        <f t="shared" si="0"/>
        <v>12187.348157241311</v>
      </c>
      <c r="F33" s="1">
        <f t="shared" si="1"/>
        <v>12187.5</v>
      </c>
      <c r="G33" s="1">
        <f t="shared" si="4"/>
        <v>-5.4424999994807877E-2</v>
      </c>
      <c r="K33" s="1">
        <f t="shared" ref="K33:K38" si="5">+G33</f>
        <v>-5.4424999994807877E-2</v>
      </c>
      <c r="O33" s="1">
        <f t="shared" ca="1" si="2"/>
        <v>-5.500478618039123E-2</v>
      </c>
      <c r="Q33" s="70">
        <f t="shared" si="3"/>
        <v>42017.566200000001</v>
      </c>
    </row>
    <row r="34" spans="1:17" x14ac:dyDescent="0.2">
      <c r="A34" s="40" t="s">
        <v>59</v>
      </c>
      <c r="B34" s="41" t="s">
        <v>47</v>
      </c>
      <c r="C34" s="42">
        <v>57361.519350000002</v>
      </c>
      <c r="D34" s="42">
        <v>1E-4</v>
      </c>
      <c r="E34" s="27">
        <f t="shared" si="0"/>
        <v>13095.344558212217</v>
      </c>
      <c r="F34" s="1">
        <f t="shared" si="1"/>
        <v>13095.5</v>
      </c>
      <c r="G34" s="1">
        <f t="shared" si="4"/>
        <v>-5.5714999994961545E-2</v>
      </c>
      <c r="K34" s="1">
        <f t="shared" si="5"/>
        <v>-5.5714999994961545E-2</v>
      </c>
      <c r="O34" s="1">
        <f t="shared" ca="1" si="2"/>
        <v>-5.6427505170909192E-2</v>
      </c>
      <c r="Q34" s="70">
        <f t="shared" si="3"/>
        <v>42343.019350000002</v>
      </c>
    </row>
    <row r="35" spans="1:17" x14ac:dyDescent="0.2">
      <c r="A35" s="43" t="s">
        <v>60</v>
      </c>
      <c r="B35" s="44" t="s">
        <v>45</v>
      </c>
      <c r="C35" s="43">
        <v>57429.082999999999</v>
      </c>
      <c r="D35" s="43" t="s">
        <v>61</v>
      </c>
      <c r="E35" s="27">
        <f t="shared" si="0"/>
        <v>13283.843428284466</v>
      </c>
      <c r="F35" s="1">
        <f t="shared" si="1"/>
        <v>13284</v>
      </c>
      <c r="G35" s="1">
        <f t="shared" si="4"/>
        <v>-5.6120000001101289E-2</v>
      </c>
      <c r="K35" s="1">
        <f t="shared" si="5"/>
        <v>-5.6120000001101289E-2</v>
      </c>
      <c r="O35" s="1">
        <f t="shared" ca="1" si="2"/>
        <v>-5.6722860379843816E-2</v>
      </c>
      <c r="Q35" s="70">
        <f t="shared" si="3"/>
        <v>42410.582999999999</v>
      </c>
    </row>
    <row r="36" spans="1:17" x14ac:dyDescent="0.2">
      <c r="A36" s="43" t="s">
        <v>60</v>
      </c>
      <c r="B36" s="44" t="s">
        <v>45</v>
      </c>
      <c r="C36" s="43">
        <v>57730.163200000003</v>
      </c>
      <c r="D36" s="43" t="s">
        <v>58</v>
      </c>
      <c r="E36" s="27">
        <f t="shared" si="0"/>
        <v>14123.840638339438</v>
      </c>
      <c r="F36" s="1">
        <f t="shared" si="1"/>
        <v>14124</v>
      </c>
      <c r="G36" s="1">
        <f t="shared" si="4"/>
        <v>-5.7119999997667037E-2</v>
      </c>
      <c r="K36" s="1">
        <f t="shared" si="5"/>
        <v>-5.7119999997667037E-2</v>
      </c>
      <c r="O36" s="1">
        <f t="shared" ca="1" si="2"/>
        <v>-5.8039032133186425E-2</v>
      </c>
      <c r="Q36" s="70">
        <f t="shared" si="3"/>
        <v>42711.663200000003</v>
      </c>
    </row>
    <row r="37" spans="1:17" x14ac:dyDescent="0.2">
      <c r="A37" s="45" t="s">
        <v>62</v>
      </c>
      <c r="B37" s="46" t="s">
        <v>45</v>
      </c>
      <c r="C37" s="47">
        <v>57776.038</v>
      </c>
      <c r="D37" s="48" t="s">
        <v>58</v>
      </c>
      <c r="E37" s="27">
        <f t="shared" si="0"/>
        <v>14251.82880897247</v>
      </c>
      <c r="F37" s="1">
        <f t="shared" si="1"/>
        <v>14252</v>
      </c>
      <c r="G37" s="1">
        <f t="shared" si="4"/>
        <v>-6.1359999999694992E-2</v>
      </c>
      <c r="K37" s="1">
        <f t="shared" si="5"/>
        <v>-6.1359999999694992E-2</v>
      </c>
      <c r="O37" s="1">
        <f t="shared" ca="1" si="2"/>
        <v>-5.8239591638457683E-2</v>
      </c>
      <c r="Q37" s="70">
        <f t="shared" si="3"/>
        <v>42757.538</v>
      </c>
    </row>
    <row r="38" spans="1:17" x14ac:dyDescent="0.2">
      <c r="A38" s="43" t="s">
        <v>63</v>
      </c>
      <c r="B38" s="49" t="s">
        <v>45</v>
      </c>
      <c r="C38" s="50">
        <v>57798.442499999997</v>
      </c>
      <c r="D38" s="50">
        <v>1.1999999999999999E-3</v>
      </c>
      <c r="E38" s="27">
        <f t="shared" si="0"/>
        <v>14314.336132578188</v>
      </c>
      <c r="F38" s="1">
        <f t="shared" si="1"/>
        <v>14314.5</v>
      </c>
      <c r="G38" s="1">
        <f t="shared" si="4"/>
        <v>-5.8734999998705462E-2</v>
      </c>
      <c r="K38" s="1">
        <f t="shared" si="5"/>
        <v>-5.8734999998705462E-2</v>
      </c>
      <c r="O38" s="1">
        <f t="shared" ca="1" si="2"/>
        <v>-5.8337521084390907E-2</v>
      </c>
      <c r="Q38" s="70">
        <f t="shared" si="3"/>
        <v>42779.942499999997</v>
      </c>
    </row>
    <row r="39" spans="1:17" x14ac:dyDescent="0.2">
      <c r="A39" s="51" t="s">
        <v>64</v>
      </c>
      <c r="B39" s="52" t="s">
        <v>47</v>
      </c>
      <c r="C39" s="53">
        <v>58126.762790000066</v>
      </c>
      <c r="D39" s="53">
        <v>4.0000000000000002E-4</v>
      </c>
      <c r="E39" s="27">
        <f t="shared" ref="E39:E44" si="6">+(C39-C$7)/C$8</f>
        <v>15230.331696565769</v>
      </c>
      <c r="F39" s="1">
        <f t="shared" si="1"/>
        <v>15230.5</v>
      </c>
      <c r="G39" s="1">
        <f t="shared" ref="G39:G44" si="7">+C39-(C$7+F39*C$8)</f>
        <v>-6.0324999933072831E-2</v>
      </c>
      <c r="K39" s="1">
        <f t="shared" ref="K39:K44" si="8">+G39</f>
        <v>-6.0324999933072831E-2</v>
      </c>
      <c r="O39" s="1">
        <f t="shared" ref="O39:O44" ca="1" si="9">+C$11+C$12*$F39</f>
        <v>-5.9772775043988327E-2</v>
      </c>
      <c r="Q39" s="70">
        <f t="shared" ref="Q39:Q44" si="10">+C39-15018.5</f>
        <v>43108.262790000066</v>
      </c>
    </row>
    <row r="40" spans="1:17" x14ac:dyDescent="0.2">
      <c r="A40" s="54" t="s">
        <v>65</v>
      </c>
      <c r="B40" s="55" t="s">
        <v>45</v>
      </c>
      <c r="C40" s="56">
        <v>58512.9732</v>
      </c>
      <c r="D40" s="56" t="s">
        <v>66</v>
      </c>
      <c r="E40" s="27">
        <f t="shared" si="6"/>
        <v>16307.837513600989</v>
      </c>
      <c r="F40" s="1">
        <f t="shared" si="1"/>
        <v>16308</v>
      </c>
      <c r="G40" s="1">
        <f t="shared" si="7"/>
        <v>-5.8239999998477288E-2</v>
      </c>
      <c r="K40" s="1">
        <f t="shared" si="8"/>
        <v>-5.8239999998477288E-2</v>
      </c>
      <c r="O40" s="1">
        <f t="shared" ca="1" si="9"/>
        <v>-6.1461078691877204E-2</v>
      </c>
      <c r="Q40" s="70">
        <f t="shared" si="10"/>
        <v>43494.4732</v>
      </c>
    </row>
    <row r="41" spans="1:17" x14ac:dyDescent="0.2">
      <c r="A41" s="51" t="s">
        <v>67</v>
      </c>
      <c r="B41" s="52" t="s">
        <v>47</v>
      </c>
      <c r="C41" s="53">
        <v>59212.082900000001</v>
      </c>
      <c r="D41" s="53" t="s">
        <v>61</v>
      </c>
      <c r="E41" s="27">
        <f t="shared" si="6"/>
        <v>18258.31515219151</v>
      </c>
      <c r="F41" s="1">
        <f>ROUND(2*E41,0)/2</f>
        <v>18258.5</v>
      </c>
      <c r="G41" s="1">
        <f t="shared" si="7"/>
        <v>-6.6254999997909181E-2</v>
      </c>
      <c r="K41" s="1">
        <f t="shared" si="8"/>
        <v>-6.6254999997909181E-2</v>
      </c>
      <c r="O41" s="1">
        <f t="shared" ca="1" si="9"/>
        <v>-6.4517260840561447E-2</v>
      </c>
      <c r="Q41" s="70">
        <f t="shared" si="10"/>
        <v>44193.582900000001</v>
      </c>
    </row>
    <row r="42" spans="1:17" x14ac:dyDescent="0.2">
      <c r="A42" s="51" t="s">
        <v>67</v>
      </c>
      <c r="B42" s="52" t="s">
        <v>47</v>
      </c>
      <c r="C42" s="53">
        <v>59212.082999999999</v>
      </c>
      <c r="D42" s="53" t="s">
        <v>68</v>
      </c>
      <c r="E42" s="27">
        <f t="shared" si="6"/>
        <v>18258.315431186009</v>
      </c>
      <c r="F42" s="1">
        <f>ROUND(2*E42,0)/2</f>
        <v>18258.5</v>
      </c>
      <c r="G42" s="1">
        <f t="shared" si="7"/>
        <v>-6.6155000000435393E-2</v>
      </c>
      <c r="K42" s="1">
        <f t="shared" si="8"/>
        <v>-6.6155000000435393E-2</v>
      </c>
      <c r="O42" s="1">
        <f t="shared" ca="1" si="9"/>
        <v>-6.4517260840561447E-2</v>
      </c>
      <c r="Q42" s="70">
        <f t="shared" si="10"/>
        <v>44193.582999999999</v>
      </c>
    </row>
    <row r="43" spans="1:17" x14ac:dyDescent="0.2">
      <c r="A43" s="51" t="s">
        <v>67</v>
      </c>
      <c r="B43" s="52" t="s">
        <v>47</v>
      </c>
      <c r="C43" s="53">
        <v>59212.083100000003</v>
      </c>
      <c r="D43" s="53" t="s">
        <v>58</v>
      </c>
      <c r="E43" s="27">
        <f t="shared" si="6"/>
        <v>18258.315710180526</v>
      </c>
      <c r="F43" s="1">
        <f>ROUND(2*E43,0)/2</f>
        <v>18258.5</v>
      </c>
      <c r="G43" s="1">
        <f t="shared" si="7"/>
        <v>-6.6054999995685648E-2</v>
      </c>
      <c r="K43" s="1">
        <f t="shared" si="8"/>
        <v>-6.6054999995685648E-2</v>
      </c>
      <c r="O43" s="1">
        <f t="shared" ca="1" si="9"/>
        <v>-6.4517260840561447E-2</v>
      </c>
      <c r="Q43" s="70">
        <f t="shared" si="10"/>
        <v>44193.583100000003</v>
      </c>
    </row>
    <row r="44" spans="1:17" x14ac:dyDescent="0.2">
      <c r="A44" s="72" t="s">
        <v>120</v>
      </c>
      <c r="C44" s="69">
        <v>59601.875500000002</v>
      </c>
      <c r="D44" s="32">
        <v>2.0000000000000001E-4</v>
      </c>
      <c r="E44" s="27">
        <f t="shared" si="6"/>
        <v>19345.815082442889</v>
      </c>
      <c r="F44" s="1">
        <f>ROUND(2*E44,0)/2</f>
        <v>19346</v>
      </c>
      <c r="G44" s="1">
        <f t="shared" si="7"/>
        <v>-6.6279999999096617E-2</v>
      </c>
      <c r="K44" s="1">
        <f t="shared" si="8"/>
        <v>-6.6279999999096617E-2</v>
      </c>
      <c r="O44" s="1">
        <f t="shared" ca="1" si="9"/>
        <v>-6.622123319979964E-2</v>
      </c>
      <c r="Q44" s="70">
        <f t="shared" si="10"/>
        <v>44583.375500000002</v>
      </c>
    </row>
    <row r="45" spans="1:17" x14ac:dyDescent="0.2">
      <c r="A45" s="73" t="s">
        <v>121</v>
      </c>
      <c r="B45" s="74" t="s">
        <v>45</v>
      </c>
      <c r="C45" s="75">
        <v>59621.947699999902</v>
      </c>
      <c r="E45" s="27">
        <f t="shared" ref="E45:E49" si="11">+(C45-C$7)/C$8</f>
        <v>19401.815417236015</v>
      </c>
      <c r="F45" s="1">
        <f t="shared" ref="F45:F49" si="12">ROUND(2*E45,0)/2</f>
        <v>19402</v>
      </c>
      <c r="G45" s="1">
        <f t="shared" ref="G45:G49" si="13">+C45-(C$7+F45*C$8)</f>
        <v>-6.6160000096715521E-2</v>
      </c>
      <c r="K45" s="1">
        <f t="shared" ref="K45:K49" si="14">+G45</f>
        <v>-6.6160000096715521E-2</v>
      </c>
      <c r="O45" s="1">
        <f t="shared" ref="O45:O49" ca="1" si="15">+C$11+C$12*$F45</f>
        <v>-6.6308977983355805E-2</v>
      </c>
      <c r="Q45" s="70">
        <f t="shared" ref="Q45:Q49" si="16">+C45-15018.5</f>
        <v>44603.447699999902</v>
      </c>
    </row>
    <row r="46" spans="1:17" x14ac:dyDescent="0.2">
      <c r="A46" s="73" t="s">
        <v>121</v>
      </c>
      <c r="B46" s="74" t="s">
        <v>45</v>
      </c>
      <c r="C46" s="75">
        <v>59621.949500000104</v>
      </c>
      <c r="E46" s="27">
        <f t="shared" si="11"/>
        <v>19401.820439137646</v>
      </c>
      <c r="F46" s="1">
        <f t="shared" si="12"/>
        <v>19402</v>
      </c>
      <c r="G46" s="1">
        <f t="shared" si="13"/>
        <v>-6.4359999894804787E-2</v>
      </c>
      <c r="K46" s="1">
        <f t="shared" si="14"/>
        <v>-6.4359999894804787E-2</v>
      </c>
      <c r="O46" s="1">
        <f t="shared" ca="1" si="15"/>
        <v>-6.6308977983355805E-2</v>
      </c>
      <c r="Q46" s="70">
        <f t="shared" si="16"/>
        <v>44603.449500000104</v>
      </c>
    </row>
    <row r="47" spans="1:17" x14ac:dyDescent="0.2">
      <c r="A47" s="73" t="s">
        <v>121</v>
      </c>
      <c r="B47" s="74" t="s">
        <v>45</v>
      </c>
      <c r="C47" s="75">
        <v>59633.058900000062</v>
      </c>
      <c r="E47" s="27">
        <f t="shared" si="11"/>
        <v>19432.815054543604</v>
      </c>
      <c r="F47" s="1">
        <f t="shared" si="12"/>
        <v>19433</v>
      </c>
      <c r="G47" s="1">
        <f t="shared" si="13"/>
        <v>-6.6289999936998356E-2</v>
      </c>
      <c r="K47" s="1">
        <f t="shared" si="14"/>
        <v>-6.6289999936998356E-2</v>
      </c>
      <c r="O47" s="1">
        <f t="shared" ca="1" si="15"/>
        <v>-6.6357550988538697E-2</v>
      </c>
      <c r="Q47" s="70">
        <f t="shared" si="16"/>
        <v>44614.558900000062</v>
      </c>
    </row>
    <row r="48" spans="1:17" x14ac:dyDescent="0.2">
      <c r="A48" s="73" t="s">
        <v>121</v>
      </c>
      <c r="B48" s="74" t="s">
        <v>45</v>
      </c>
      <c r="C48" s="75">
        <v>59633.059100000188</v>
      </c>
      <c r="E48" s="27">
        <f t="shared" si="11"/>
        <v>19432.815612532962</v>
      </c>
      <c r="F48" s="1">
        <f t="shared" si="12"/>
        <v>19433</v>
      </c>
      <c r="G48" s="1">
        <f t="shared" si="13"/>
        <v>-6.6089999811083544E-2</v>
      </c>
      <c r="K48" s="1">
        <f t="shared" si="14"/>
        <v>-6.6089999811083544E-2</v>
      </c>
      <c r="O48" s="1">
        <f t="shared" ca="1" si="15"/>
        <v>-6.6357550988538697E-2</v>
      </c>
      <c r="Q48" s="70">
        <f t="shared" si="16"/>
        <v>44614.559100000188</v>
      </c>
    </row>
    <row r="49" spans="1:17" x14ac:dyDescent="0.2">
      <c r="A49" s="73" t="s">
        <v>121</v>
      </c>
      <c r="B49" s="74" t="s">
        <v>45</v>
      </c>
      <c r="C49" s="75">
        <v>59633.059100000188</v>
      </c>
      <c r="E49" s="27">
        <f t="shared" si="11"/>
        <v>19432.815612532962</v>
      </c>
      <c r="F49" s="1">
        <f t="shared" si="12"/>
        <v>19433</v>
      </c>
      <c r="G49" s="1">
        <f t="shared" si="13"/>
        <v>-6.6089999811083544E-2</v>
      </c>
      <c r="K49" s="1">
        <f t="shared" si="14"/>
        <v>-6.6089999811083544E-2</v>
      </c>
      <c r="O49" s="1">
        <f t="shared" ca="1" si="15"/>
        <v>-6.6357550988538697E-2</v>
      </c>
      <c r="Q49" s="70">
        <f t="shared" si="16"/>
        <v>44614.559100000188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18" sqref="A18"/>
    </sheetView>
  </sheetViews>
  <sheetFormatPr defaultRowHeight="12.75" x14ac:dyDescent="0.2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69</v>
      </c>
      <c r="I1" s="58" t="s">
        <v>70</v>
      </c>
      <c r="J1" s="59" t="s">
        <v>35</v>
      </c>
    </row>
    <row r="2" spans="1:16" x14ac:dyDescent="0.2">
      <c r="I2" s="60" t="s">
        <v>71</v>
      </c>
      <c r="J2" s="61" t="s">
        <v>34</v>
      </c>
    </row>
    <row r="3" spans="1:16" x14ac:dyDescent="0.2">
      <c r="A3" s="62" t="s">
        <v>72</v>
      </c>
      <c r="I3" s="60" t="s">
        <v>73</v>
      </c>
      <c r="J3" s="61" t="s">
        <v>32</v>
      </c>
    </row>
    <row r="4" spans="1:16" x14ac:dyDescent="0.2">
      <c r="I4" s="60" t="s">
        <v>74</v>
      </c>
      <c r="J4" s="61" t="s">
        <v>32</v>
      </c>
    </row>
    <row r="5" spans="1:16" x14ac:dyDescent="0.2">
      <c r="I5" s="63" t="s">
        <v>61</v>
      </c>
      <c r="J5" s="64" t="s">
        <v>33</v>
      </c>
    </row>
    <row r="11" spans="1:16" ht="12.75" customHeight="1" x14ac:dyDescent="0.2">
      <c r="A11" s="23" t="str">
        <f t="shared" ref="A11:A20" si="0">P11</f>
        <v>IBVS 5894 </v>
      </c>
      <c r="B11" s="3" t="str">
        <f t="shared" ref="B11:B20" si="1">IF(H11=INT(H11),"I","II")</f>
        <v>II</v>
      </c>
      <c r="C11" s="23">
        <f t="shared" ref="C11:C20" si="2">1*G11</f>
        <v>54888.7382</v>
      </c>
      <c r="D11" t="str">
        <f t="shared" ref="D11:D20" si="3">VLOOKUP(F11,I$1:J$5,2,FALSE)</f>
        <v>vis</v>
      </c>
      <c r="E11">
        <f>VLOOKUP(C11,Active!C$21:E$970,3,FALSE)</f>
        <v>6196.4210585051533</v>
      </c>
      <c r="F11" s="3" t="s">
        <v>61</v>
      </c>
      <c r="G11" t="str">
        <f t="shared" ref="G11:G20" si="4">MID(I11,3,LEN(I11)-3)</f>
        <v>54888.7382</v>
      </c>
      <c r="H11" s="23">
        <f t="shared" ref="H11:H20" si="5">1*K11</f>
        <v>3842.5</v>
      </c>
      <c r="I11" s="65" t="s">
        <v>75</v>
      </c>
      <c r="J11" s="66" t="s">
        <v>76</v>
      </c>
      <c r="K11" s="65">
        <v>3842.5</v>
      </c>
      <c r="L11" s="65" t="s">
        <v>77</v>
      </c>
      <c r="M11" s="66" t="s">
        <v>78</v>
      </c>
      <c r="N11" s="66" t="s">
        <v>61</v>
      </c>
      <c r="O11" s="67" t="s">
        <v>79</v>
      </c>
      <c r="P11" s="68" t="s">
        <v>80</v>
      </c>
    </row>
    <row r="12" spans="1:16" ht="12.75" customHeight="1" x14ac:dyDescent="0.2">
      <c r="A12" s="23" t="str">
        <f t="shared" si="0"/>
        <v>IBVS 5992 </v>
      </c>
      <c r="B12" s="3" t="str">
        <f t="shared" si="1"/>
        <v>II</v>
      </c>
      <c r="C12" s="23">
        <f t="shared" si="2"/>
        <v>55621.718699999998</v>
      </c>
      <c r="D12" t="str">
        <f t="shared" si="3"/>
        <v>vis</v>
      </c>
      <c r="E12">
        <f>VLOOKUP(C12,Active!C$21:E$970,3,FALSE)</f>
        <v>8241.3963674915613</v>
      </c>
      <c r="F12" s="3" t="s">
        <v>61</v>
      </c>
      <c r="G12" t="str">
        <f t="shared" si="4"/>
        <v>55621.7187</v>
      </c>
      <c r="H12" s="23">
        <f t="shared" si="5"/>
        <v>5887.5</v>
      </c>
      <c r="I12" s="65" t="s">
        <v>81</v>
      </c>
      <c r="J12" s="66" t="s">
        <v>82</v>
      </c>
      <c r="K12" s="65">
        <v>5887.5</v>
      </c>
      <c r="L12" s="65" t="s">
        <v>83</v>
      </c>
      <c r="M12" s="66" t="s">
        <v>78</v>
      </c>
      <c r="N12" s="66" t="s">
        <v>61</v>
      </c>
      <c r="O12" s="67" t="s">
        <v>79</v>
      </c>
      <c r="P12" s="68" t="s">
        <v>84</v>
      </c>
    </row>
    <row r="13" spans="1:16" ht="12.75" customHeight="1" x14ac:dyDescent="0.2">
      <c r="A13" s="23" t="str">
        <f t="shared" si="0"/>
        <v>BAVM 220 </v>
      </c>
      <c r="B13" s="3" t="str">
        <f t="shared" si="1"/>
        <v>I</v>
      </c>
      <c r="C13" s="23">
        <f t="shared" si="2"/>
        <v>55629.423699999999</v>
      </c>
      <c r="D13" t="str">
        <f t="shared" si="3"/>
        <v>vis</v>
      </c>
      <c r="E13">
        <f>VLOOKUP(C13,Active!C$21:E$970,3,FALSE)</f>
        <v>8262.8928940099922</v>
      </c>
      <c r="F13" s="3" t="s">
        <v>61</v>
      </c>
      <c r="G13" t="str">
        <f t="shared" si="4"/>
        <v>55629.4237</v>
      </c>
      <c r="H13" s="23">
        <f t="shared" si="5"/>
        <v>5909</v>
      </c>
      <c r="I13" s="65" t="s">
        <v>85</v>
      </c>
      <c r="J13" s="66" t="s">
        <v>86</v>
      </c>
      <c r="K13" s="65">
        <v>5909</v>
      </c>
      <c r="L13" s="65" t="s">
        <v>87</v>
      </c>
      <c r="M13" s="66" t="s">
        <v>78</v>
      </c>
      <c r="N13" s="66" t="s">
        <v>61</v>
      </c>
      <c r="O13" s="67" t="s">
        <v>88</v>
      </c>
      <c r="P13" s="68" t="s">
        <v>89</v>
      </c>
    </row>
    <row r="14" spans="1:16" ht="12.75" customHeight="1" x14ac:dyDescent="0.2">
      <c r="A14" s="23" t="str">
        <f t="shared" si="0"/>
        <v>OEJV 0160 </v>
      </c>
      <c r="B14" s="3" t="str">
        <f t="shared" si="1"/>
        <v>I</v>
      </c>
      <c r="C14" s="23">
        <f t="shared" si="2"/>
        <v>56245.557639999999</v>
      </c>
      <c r="D14" t="str">
        <f t="shared" si="3"/>
        <v>vis</v>
      </c>
      <c r="E14">
        <f>VLOOKUP(C14,Active!C$21:E$970,3,FALSE)</f>
        <v>9981.8727227073668</v>
      </c>
      <c r="F14" s="3" t="s">
        <v>61</v>
      </c>
      <c r="G14" t="str">
        <f t="shared" si="4"/>
        <v>56245.55764</v>
      </c>
      <c r="H14" s="23">
        <f t="shared" si="5"/>
        <v>7628</v>
      </c>
      <c r="I14" s="65" t="s">
        <v>90</v>
      </c>
      <c r="J14" s="66" t="s">
        <v>91</v>
      </c>
      <c r="K14" s="65">
        <v>7628</v>
      </c>
      <c r="L14" s="65" t="s">
        <v>92</v>
      </c>
      <c r="M14" s="66" t="s">
        <v>78</v>
      </c>
      <c r="N14" s="66" t="s">
        <v>70</v>
      </c>
      <c r="O14" s="67" t="s">
        <v>93</v>
      </c>
      <c r="P14" s="68" t="s">
        <v>94</v>
      </c>
    </row>
    <row r="15" spans="1:16" ht="12.75" customHeight="1" x14ac:dyDescent="0.2">
      <c r="A15" s="23" t="str">
        <f t="shared" si="0"/>
        <v>IBVS 6094 </v>
      </c>
      <c r="B15" s="3" t="str">
        <f t="shared" si="1"/>
        <v>II</v>
      </c>
      <c r="C15" s="23">
        <f t="shared" si="2"/>
        <v>56354.341500000002</v>
      </c>
      <c r="D15" t="str">
        <f t="shared" si="3"/>
        <v>vis</v>
      </c>
      <c r="E15">
        <f>VLOOKUP(C15,Active!C$21:E$970,3,FALSE)</f>
        <v>10285.373713137864</v>
      </c>
      <c r="F15" s="3" t="s">
        <v>61</v>
      </c>
      <c r="G15" t="str">
        <f t="shared" si="4"/>
        <v>56354.3415</v>
      </c>
      <c r="H15" s="23">
        <f t="shared" si="5"/>
        <v>7931.5</v>
      </c>
      <c r="I15" s="65" t="s">
        <v>95</v>
      </c>
      <c r="J15" s="66" t="s">
        <v>96</v>
      </c>
      <c r="K15" s="65">
        <v>7931.5</v>
      </c>
      <c r="L15" s="65" t="s">
        <v>97</v>
      </c>
      <c r="M15" s="66" t="s">
        <v>78</v>
      </c>
      <c r="N15" s="66" t="s">
        <v>61</v>
      </c>
      <c r="O15" s="67" t="s">
        <v>98</v>
      </c>
      <c r="P15" s="68" t="s">
        <v>99</v>
      </c>
    </row>
    <row r="16" spans="1:16" ht="12.75" customHeight="1" x14ac:dyDescent="0.2">
      <c r="A16" s="23" t="str">
        <f t="shared" si="0"/>
        <v>BAVM 238 </v>
      </c>
      <c r="B16" s="3" t="str">
        <f t="shared" si="1"/>
        <v>II</v>
      </c>
      <c r="C16" s="23">
        <f t="shared" si="2"/>
        <v>56726.3868</v>
      </c>
      <c r="D16" t="str">
        <f t="shared" si="3"/>
        <v>vis</v>
      </c>
      <c r="E16">
        <f>VLOOKUP(C16,Active!C$21:E$970,3,FALSE)</f>
        <v>11323.359651814866</v>
      </c>
      <c r="F16" s="3" t="s">
        <v>61</v>
      </c>
      <c r="G16" t="str">
        <f t="shared" si="4"/>
        <v>56726.3868</v>
      </c>
      <c r="H16" s="23">
        <f t="shared" si="5"/>
        <v>8969.5</v>
      </c>
      <c r="I16" s="65" t="s">
        <v>100</v>
      </c>
      <c r="J16" s="66" t="s">
        <v>101</v>
      </c>
      <c r="K16" s="65">
        <v>8969.5</v>
      </c>
      <c r="L16" s="65" t="s">
        <v>102</v>
      </c>
      <c r="M16" s="66" t="s">
        <v>78</v>
      </c>
      <c r="N16" s="66" t="s">
        <v>103</v>
      </c>
      <c r="O16" s="67" t="s">
        <v>88</v>
      </c>
      <c r="P16" s="68" t="s">
        <v>104</v>
      </c>
    </row>
    <row r="17" spans="1:16" ht="12.75" customHeight="1" x14ac:dyDescent="0.2">
      <c r="A17" s="23" t="str">
        <f t="shared" si="0"/>
        <v>BAVM 238 </v>
      </c>
      <c r="B17" s="3" t="str">
        <f t="shared" si="1"/>
        <v>I</v>
      </c>
      <c r="C17" s="23">
        <f t="shared" si="2"/>
        <v>56728.358500000002</v>
      </c>
      <c r="D17" t="str">
        <f t="shared" si="3"/>
        <v>vis</v>
      </c>
      <c r="E17">
        <f>VLOOKUP(C17,Active!C$21:E$970,3,FALSE)</f>
        <v>11328.860586446459</v>
      </c>
      <c r="F17" s="3" t="s">
        <v>61</v>
      </c>
      <c r="G17" t="str">
        <f t="shared" si="4"/>
        <v>56728.3585</v>
      </c>
      <c r="H17" s="23">
        <f t="shared" si="5"/>
        <v>8975</v>
      </c>
      <c r="I17" s="65" t="s">
        <v>105</v>
      </c>
      <c r="J17" s="66" t="s">
        <v>106</v>
      </c>
      <c r="K17" s="65" t="s">
        <v>107</v>
      </c>
      <c r="L17" s="65" t="s">
        <v>108</v>
      </c>
      <c r="M17" s="66" t="s">
        <v>78</v>
      </c>
      <c r="N17" s="66" t="s">
        <v>103</v>
      </c>
      <c r="O17" s="67" t="s">
        <v>88</v>
      </c>
      <c r="P17" s="68" t="s">
        <v>104</v>
      </c>
    </row>
    <row r="18" spans="1:16" ht="12.75" customHeight="1" x14ac:dyDescent="0.2">
      <c r="A18" s="23" t="str">
        <f t="shared" si="0"/>
        <v>VSB 51 </v>
      </c>
      <c r="B18" s="3" t="str">
        <f t="shared" si="1"/>
        <v>I</v>
      </c>
      <c r="C18" s="23">
        <f t="shared" si="2"/>
        <v>55553.076999999997</v>
      </c>
      <c r="D18" t="str">
        <f t="shared" si="3"/>
        <v>vis</v>
      </c>
      <c r="E18">
        <f>VLOOKUP(C18,Active!C$21:E$970,3,FALSE)</f>
        <v>8049.8897971709957</v>
      </c>
      <c r="F18" s="3" t="s">
        <v>61</v>
      </c>
      <c r="G18" t="str">
        <f t="shared" si="4"/>
        <v>55553.0770</v>
      </c>
      <c r="H18" s="23">
        <f t="shared" si="5"/>
        <v>5696</v>
      </c>
      <c r="I18" s="65" t="s">
        <v>109</v>
      </c>
      <c r="J18" s="66" t="s">
        <v>110</v>
      </c>
      <c r="K18" s="65">
        <v>5696</v>
      </c>
      <c r="L18" s="65" t="s">
        <v>111</v>
      </c>
      <c r="M18" s="66" t="s">
        <v>78</v>
      </c>
      <c r="N18" s="66" t="s">
        <v>112</v>
      </c>
      <c r="O18" s="67" t="s">
        <v>113</v>
      </c>
      <c r="P18" s="68" t="s">
        <v>48</v>
      </c>
    </row>
    <row r="19" spans="1:16" ht="12.75" customHeight="1" x14ac:dyDescent="0.2">
      <c r="A19" s="23" t="str">
        <f t="shared" si="0"/>
        <v>VSB 56 </v>
      </c>
      <c r="B19" s="3" t="str">
        <f t="shared" si="1"/>
        <v>I</v>
      </c>
      <c r="C19" s="23">
        <f t="shared" si="2"/>
        <v>56308.999000000003</v>
      </c>
      <c r="D19" t="str">
        <f t="shared" si="3"/>
        <v>vis</v>
      </c>
      <c r="E19">
        <f>VLOOKUP(C19,Active!C$21:E$970,3,FALSE)</f>
        <v>10158.870630248601</v>
      </c>
      <c r="F19" s="3" t="s">
        <v>61</v>
      </c>
      <c r="G19" t="str">
        <f t="shared" si="4"/>
        <v>56308.9990</v>
      </c>
      <c r="H19" s="23">
        <f t="shared" si="5"/>
        <v>7805</v>
      </c>
      <c r="I19" s="65" t="s">
        <v>114</v>
      </c>
      <c r="J19" s="66" t="s">
        <v>115</v>
      </c>
      <c r="K19" s="65">
        <v>7805</v>
      </c>
      <c r="L19" s="65" t="s">
        <v>116</v>
      </c>
      <c r="M19" s="66" t="s">
        <v>78</v>
      </c>
      <c r="N19" s="66" t="s">
        <v>58</v>
      </c>
      <c r="O19" s="67" t="s">
        <v>113</v>
      </c>
      <c r="P19" s="68" t="s">
        <v>52</v>
      </c>
    </row>
    <row r="20" spans="1:16" ht="12.75" customHeight="1" x14ac:dyDescent="0.2">
      <c r="A20" s="23" t="str">
        <f t="shared" si="0"/>
        <v>VSB 59 </v>
      </c>
      <c r="B20" s="3" t="str">
        <f t="shared" si="1"/>
        <v>II</v>
      </c>
      <c r="C20" s="23">
        <f t="shared" si="2"/>
        <v>56994.132100000003</v>
      </c>
      <c r="D20" t="str">
        <f t="shared" si="3"/>
        <v>vis</v>
      </c>
      <c r="E20">
        <f>VLOOKUP(C20,Active!C$21:E$970,3,FALSE)</f>
        <v>12070.35432301985</v>
      </c>
      <c r="F20" s="3" t="s">
        <v>61</v>
      </c>
      <c r="G20" t="str">
        <f t="shared" si="4"/>
        <v>56994.1321</v>
      </c>
      <c r="H20" s="23">
        <f t="shared" si="5"/>
        <v>9716.5</v>
      </c>
      <c r="I20" s="65" t="s">
        <v>117</v>
      </c>
      <c r="J20" s="66" t="s">
        <v>118</v>
      </c>
      <c r="K20" s="65" t="s">
        <v>119</v>
      </c>
      <c r="L20" s="65" t="s">
        <v>108</v>
      </c>
      <c r="M20" s="66" t="s">
        <v>78</v>
      </c>
      <c r="N20" s="66" t="s">
        <v>58</v>
      </c>
      <c r="O20" s="67" t="s">
        <v>113</v>
      </c>
      <c r="P20" s="68" t="s">
        <v>56</v>
      </c>
    </row>
  </sheetData>
  <sheetProtection selectLockedCells="1" selectUnlockedCells="1"/>
  <phoneticPr fontId="0" type="noConversion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2023-08-22T05:57:14Z</dcterms:created>
  <dcterms:modified xsi:type="dcterms:W3CDTF">2023-08-22T05:57:15Z</dcterms:modified>
</cp:coreProperties>
</file>