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7FEC221A-E2BB-45B9-988A-24D0D405BC26}" xr6:coauthVersionLast="47" xr6:coauthVersionMax="47" xr10:uidLastSave="{00000000-0000-0000-0000-000000000000}"/>
  <bookViews>
    <workbookView xWindow="14625" yWindow="1170" windowWidth="12630" windowHeight="14595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E29" i="2" l="1"/>
  <c r="F29" i="2" s="1"/>
  <c r="G29" i="2" s="1"/>
  <c r="I29" i="2" s="1"/>
  <c r="Q29" i="2"/>
  <c r="E29" i="1"/>
  <c r="F29" i="1"/>
  <c r="G29" i="1" s="1"/>
  <c r="I29" i="1"/>
  <c r="Q29" i="1"/>
  <c r="E24" i="2"/>
  <c r="F24" i="2"/>
  <c r="G24" i="2"/>
  <c r="I24" i="2"/>
  <c r="Q24" i="2"/>
  <c r="E25" i="2"/>
  <c r="F25" i="2"/>
  <c r="G25" i="2"/>
  <c r="I25" i="2"/>
  <c r="Q25" i="2"/>
  <c r="E26" i="2"/>
  <c r="F26" i="2"/>
  <c r="G26" i="2"/>
  <c r="I26" i="2"/>
  <c r="Q26" i="2"/>
  <c r="E27" i="2"/>
  <c r="F27" i="2"/>
  <c r="G27" i="2"/>
  <c r="I27" i="2"/>
  <c r="Q27" i="2"/>
  <c r="G24" i="1"/>
  <c r="G25" i="1"/>
  <c r="G26" i="1"/>
  <c r="G27" i="1"/>
  <c r="G28" i="1"/>
  <c r="U28" i="1"/>
  <c r="I28" i="1"/>
  <c r="E28" i="1"/>
  <c r="F28" i="1"/>
  <c r="Q28" i="1"/>
  <c r="C9" i="1"/>
  <c r="D9" i="1"/>
  <c r="F16" i="1"/>
  <c r="F17" i="1" s="1"/>
  <c r="C17" i="1"/>
  <c r="E21" i="1"/>
  <c r="F21" i="1"/>
  <c r="G21" i="1"/>
  <c r="H21" i="1"/>
  <c r="Q21" i="1"/>
  <c r="E22" i="1"/>
  <c r="F22" i="1"/>
  <c r="G22" i="1"/>
  <c r="I22" i="1"/>
  <c r="Q22" i="1"/>
  <c r="R22" i="1"/>
  <c r="E23" i="1"/>
  <c r="F23" i="1"/>
  <c r="G23" i="1"/>
  <c r="J23" i="1"/>
  <c r="Q23" i="1"/>
  <c r="E24" i="1"/>
  <c r="F24" i="1"/>
  <c r="U24" i="1"/>
  <c r="I24" i="1"/>
  <c r="Q24" i="1"/>
  <c r="E25" i="1"/>
  <c r="F25" i="1"/>
  <c r="U25" i="1"/>
  <c r="I25" i="1"/>
  <c r="Q25" i="1"/>
  <c r="E26" i="1"/>
  <c r="F26" i="1"/>
  <c r="I26" i="1"/>
  <c r="Q26" i="1"/>
  <c r="U26" i="1"/>
  <c r="E27" i="1"/>
  <c r="F27" i="1"/>
  <c r="Q27" i="1"/>
  <c r="U27" i="1"/>
  <c r="I27" i="1"/>
  <c r="F11" i="2"/>
  <c r="G11" i="2"/>
  <c r="E14" i="2"/>
  <c r="E15" i="2" s="1"/>
  <c r="C17" i="2"/>
  <c r="E21" i="2"/>
  <c r="F21" i="2"/>
  <c r="G21" i="2"/>
  <c r="H21" i="2"/>
  <c r="Q21" i="2"/>
  <c r="E23" i="2"/>
  <c r="F23" i="2"/>
  <c r="G23" i="2"/>
  <c r="I23" i="2"/>
  <c r="Q23" i="2"/>
  <c r="R22" i="2"/>
  <c r="E22" i="2"/>
  <c r="F22" i="2"/>
  <c r="G22" i="2"/>
  <c r="J22" i="2"/>
  <c r="Q22" i="2"/>
  <c r="E28" i="2"/>
  <c r="F28" i="2"/>
  <c r="G28" i="2"/>
  <c r="I28" i="2"/>
  <c r="Q28" i="2"/>
  <c r="C11" i="1"/>
  <c r="C12" i="1"/>
  <c r="C12" i="2"/>
  <c r="O29" i="1" l="1"/>
  <c r="C16" i="2"/>
  <c r="D18" i="2" s="1"/>
  <c r="C16" i="1"/>
  <c r="D18" i="1" s="1"/>
  <c r="O25" i="1"/>
  <c r="O23" i="1"/>
  <c r="O22" i="1"/>
  <c r="O21" i="1"/>
  <c r="O28" i="1"/>
  <c r="O24" i="1"/>
  <c r="O26" i="1"/>
  <c r="C15" i="1"/>
  <c r="F18" i="1" s="1"/>
  <c r="O27" i="1"/>
  <c r="C11" i="2"/>
  <c r="O29" i="2" l="1"/>
  <c r="O22" i="2"/>
  <c r="O28" i="2"/>
  <c r="O26" i="2"/>
  <c r="C15" i="2"/>
  <c r="O25" i="2"/>
  <c r="O21" i="2"/>
  <c r="O27" i="2"/>
  <c r="O24" i="2"/>
  <c r="O23" i="2"/>
  <c r="F19" i="1"/>
  <c r="C18" i="1"/>
  <c r="C18" i="2" l="1"/>
  <c r="E16" i="2"/>
  <c r="E17" i="2" s="1"/>
</calcChain>
</file>

<file path=xl/sharedStrings.xml><?xml version="1.0" encoding="utf-8"?>
<sst xmlns="http://schemas.openxmlformats.org/spreadsheetml/2006/main" count="128" uniqueCount="55">
  <si>
    <t>V958 Mon / GSC 0140-0964</t>
  </si>
  <si>
    <t>System Type:</t>
  </si>
  <si>
    <t>EW/KW</t>
  </si>
  <si>
    <t>Mon</t>
  </si>
  <si>
    <t>GCVS 4 Eph.</t>
  </si>
  <si>
    <t>not avail.</t>
  </si>
  <si>
    <t>My time zone &gt;&gt;&gt;&gt;&gt;</t>
  </si>
  <si>
    <t>(PST=8, PDT=MDT=7, MDT=CST=6, etc.)</t>
  </si>
  <si>
    <t>--- Working ----</t>
  </si>
  <si>
    <t>Epoch =</t>
  </si>
  <si>
    <t>IBVS 5570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</si>
  <si>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</si>
  <si>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</si>
  <si>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</si>
  <si>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</si>
  <si>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</si>
  <si>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</si>
  <si>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</si>
  <si>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</si>
  <si>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</si>
  <si>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</si>
  <si>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</si>
  <si>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</si>
  <si>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</si>
  <si>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</si>
  <si>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</si>
  <si>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</si>
  <si>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</si>
  <si>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</si>
  <si>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</si>
  <si>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</si>
  <si>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</si>
  <si>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</si>
  <si>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</si>
  <si>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</si>
  <si>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IBVS</t>
  </si>
  <si>
    <t>Nelson</t>
  </si>
  <si>
    <t>S4</t>
  </si>
  <si>
    <t>S5</t>
  </si>
  <si>
    <t>S6</t>
  </si>
  <si>
    <t>Misc</t>
  </si>
  <si>
    <t>Lin Fit</t>
  </si>
  <si>
    <t>Q. Fit</t>
  </si>
  <si>
    <t>Date</t>
  </si>
  <si>
    <t>BAD?</t>
  </si>
  <si>
    <t>IBVS 6018</t>
  </si>
  <si>
    <t>IBVS 5992</t>
  </si>
  <si>
    <t>II</t>
  </si>
  <si>
    <t>RHN 2020</t>
  </si>
  <si>
    <t>OEJV 0211</t>
  </si>
  <si>
    <t>I</t>
  </si>
  <si>
    <t>Local time</t>
  </si>
  <si>
    <t>JAVSO 49, 106</t>
  </si>
  <si>
    <t>JAAVSO, 50, 255</t>
  </si>
  <si>
    <t>V0958 Mon / GSC 0140-0964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</si>
</sst>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\$#,##0_);&quot;($&quot;#,##0\)"/>
    <numFmt numFmtId="165" formatCode="m/d/yyyy\ h:mm"/>
    <numFmt numFmtId="168" formatCode="0.00000"/>
    <numFmt numFmtId="169" formatCode="dd/mm/yyyy"/>
  </numFmts>
  <fonts count="11" x14ac:knownFonts="1"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</borders>
  <cellStyleXfs count="6">
    <xf numFmtId="0" fontId="0" fillId="0" borderId="0">
      <alignment vertical="top"/>
    </xf>
    <xf numFmtId="3" fontId="9" fillId="0" borderId="0" applyFill="0" applyBorder="0" applyProtection="0">
      <alignment vertical="top"/>
    </xf>
    <xf numFmtId="164" fontId="9" fillId="0" borderId="0" applyFill="0" applyBorder="0" applyProtection="0">
      <alignment vertical="top"/>
    </xf>
    <xf numFmtId="0" fontId="9" fillId="0" borderId="0" applyFill="0" applyBorder="0" applyProtection="0">
      <alignment vertical="top"/>
    </xf>
    <xf numFmtId="2" fontId="9" fillId="0" borderId="0" applyFill="0" applyBorder="0" applyProtection="0">
      <alignment vertical="top"/>
    </xf>
    <xf numFmtId="0" fontId="9" fillId="0" borderId="0"/>
  </cellStyleXfs>
  <cellXfs count="38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horizontal="center"/>
    </xf>
    <xf numFmtId="0" fontId="2" fillId="0" borderId="0" xfId="0" applyFont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0" borderId="0" xfId="0" applyFont="1">
      <alignment vertical="top"/>
    </xf>
    <xf numFmtId="0" fontId="4" fillId="0" borderId="0" xfId="0" applyFont="1">
      <alignment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0" fillId="0" borderId="4" xfId="0" applyFont="1" applyBorder="1" applyAlignment="1">
      <alignment horizontal="center"/>
    </xf>
    <xf numFmtId="0" fontId="6" fillId="0" borderId="0" xfId="0" applyFont="1">
      <alignment vertical="top"/>
    </xf>
    <xf numFmtId="0" fontId="2" fillId="0" borderId="0" xfId="0" applyFont="1">
      <alignment vertical="top"/>
    </xf>
    <xf numFmtId="0" fontId="6" fillId="0" borderId="0" xfId="0" applyFont="1" applyAlignment="1">
      <alignment horizontal="center"/>
    </xf>
    <xf numFmtId="0" fontId="5" fillId="0" borderId="0" xfId="0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6" fillId="0" borderId="0" xfId="0" applyNumberFormat="1" applyFont="1">
      <alignment vertical="top"/>
    </xf>
    <xf numFmtId="0" fontId="2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5" applyFont="1"/>
    <xf numFmtId="0" fontId="8" fillId="0" borderId="0" xfId="5" applyFont="1" applyAlignment="1">
      <alignment horizontal="center"/>
    </xf>
    <xf numFmtId="0" fontId="8" fillId="0" borderId="0" xfId="5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168" fontId="6" fillId="0" borderId="0" xfId="0" applyNumberFormat="1" applyFont="1">
      <alignment vertical="top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168" fontId="10" fillId="0" borderId="0" xfId="0" applyNumberFormat="1" applyFont="1" applyAlignment="1">
      <alignment vertical="center" wrapText="1"/>
    </xf>
    <xf numFmtId="169" fontId="0" fillId="0" borderId="0" xfId="0" applyNumberFormat="1" applyAlignment="1"/>
  </cellXfs>
  <cellStyles count="6">
    <cellStyle name="Comma0" xfId="1"/>
    <cellStyle name="Currency0" xfId="2"/>
    <cellStyle name="Date" xfId="3"/>
    <cellStyle name="Fixed" xfId="4"/>
    <cellStyle name="Normal" xfId="0" builtinId="0"/>
    <cellStyle name="Normal_A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0140-0964 - O-C Diagr.</a:t>
            </a:r>
          </a:p>
        </c:rich>
      </c:tx>
      <c:layout>
        <c:manualLayout>
          <c:xMode val="edge"/>
          <c:yMode val="edge"/>
          <c:x val="0.33533834586466166"/>
          <c:y val="4.5045045045045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33834586466165"/>
          <c:y val="0.2372379329659727"/>
          <c:w val="0.81654135338345868"/>
          <c:h val="0.5495511611743418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1'!$F$21:$F$27</c:f>
              <c:numCache>
                <c:formatCode>General</c:formatCode>
                <c:ptCount val="7"/>
                <c:pt idx="0">
                  <c:v>0</c:v>
                </c:pt>
                <c:pt idx="1">
                  <c:v>14689.5</c:v>
                </c:pt>
                <c:pt idx="2">
                  <c:v>13619.5</c:v>
                </c:pt>
                <c:pt idx="3">
                  <c:v>24715.5</c:v>
                </c:pt>
                <c:pt idx="4">
                  <c:v>20783</c:v>
                </c:pt>
                <c:pt idx="5">
                  <c:v>20863</c:v>
                </c:pt>
                <c:pt idx="6">
                  <c:v>20863.5</c:v>
                </c:pt>
              </c:numCache>
            </c:numRef>
          </c:xVal>
          <c:yVal>
            <c:numRef>
              <c:f>'Active 1'!$H$21:$H$27</c:f>
              <c:numCache>
                <c:formatCode>General</c:formatCode>
                <c:ptCount val="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92-4F30-9769-5B555E45F500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1'!$F$21:$F$27</c:f>
              <c:numCache>
                <c:formatCode>General</c:formatCode>
                <c:ptCount val="7"/>
                <c:pt idx="0">
                  <c:v>0</c:v>
                </c:pt>
                <c:pt idx="1">
                  <c:v>14689.5</c:v>
                </c:pt>
                <c:pt idx="2">
                  <c:v>13619.5</c:v>
                </c:pt>
                <c:pt idx="3">
                  <c:v>24715.5</c:v>
                </c:pt>
                <c:pt idx="4">
                  <c:v>20783</c:v>
                </c:pt>
                <c:pt idx="5">
                  <c:v>20863</c:v>
                </c:pt>
                <c:pt idx="6">
                  <c:v>20863.5</c:v>
                </c:pt>
              </c:numCache>
            </c:numRef>
          </c:xVal>
          <c:yVal>
            <c:numRef>
              <c:f>'Active 1'!$I$21:$I$27</c:f>
              <c:numCache>
                <c:formatCode>General</c:formatCode>
                <c:ptCount val="7"/>
                <c:pt idx="1">
                  <c:v>1.9381500002054963E-2</c:v>
                </c:pt>
                <c:pt idx="3">
                  <c:v>5.5460062438214663E-2</c:v>
                </c:pt>
                <c:pt idx="4">
                  <c:v>4.0120999939972535E-2</c:v>
                </c:pt>
                <c:pt idx="5">
                  <c:v>3.1900999769277405E-2</c:v>
                </c:pt>
                <c:pt idx="6">
                  <c:v>3.1949500102200545E-2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92-4F30-9769-5B555E45F500}"/>
            </c:ext>
          </c:extLst>
        </c:ser>
        <c:ser>
          <c:idx val="2"/>
          <c:order val="2"/>
          <c:tx>
            <c:strRef>
              <c:f>'Active 1'!$J$20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c:spPr>
          </c:marker>
          <c:xVal>
            <c:numRef>
              <c:f>'Active 1'!$F$21:$F$27</c:f>
              <c:numCache>
                <c:formatCode>General</c:formatCode>
                <c:ptCount val="7"/>
                <c:pt idx="0">
                  <c:v>0</c:v>
                </c:pt>
                <c:pt idx="1">
                  <c:v>14689.5</c:v>
                </c:pt>
                <c:pt idx="2">
                  <c:v>13619.5</c:v>
                </c:pt>
                <c:pt idx="3">
                  <c:v>24715.5</c:v>
                </c:pt>
                <c:pt idx="4">
                  <c:v>20783</c:v>
                </c:pt>
                <c:pt idx="5">
                  <c:v>20863</c:v>
                </c:pt>
                <c:pt idx="6">
                  <c:v>20863.5</c:v>
                </c:pt>
              </c:numCache>
            </c:numRef>
          </c:xVal>
          <c:yVal>
            <c:numRef>
              <c:f>'Active 1'!$J$21:$J$27</c:f>
              <c:numCache>
                <c:formatCode>General</c:formatCode>
                <c:ptCount val="7"/>
                <c:pt idx="2">
                  <c:v>1.829149999684887E-2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92-4F30-9769-5B555E45F500}"/>
            </c:ext>
          </c:extLst>
        </c:ser>
        <c:ser>
          <c:idx val="3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1'!$F$21:$F$27</c:f>
              <c:numCache>
                <c:formatCode>General</c:formatCode>
                <c:ptCount val="7"/>
                <c:pt idx="0">
                  <c:v>0</c:v>
                </c:pt>
                <c:pt idx="1">
                  <c:v>14689.5</c:v>
                </c:pt>
                <c:pt idx="2">
                  <c:v>13619.5</c:v>
                </c:pt>
                <c:pt idx="3">
                  <c:v>24715.5</c:v>
                </c:pt>
                <c:pt idx="4">
                  <c:v>20783</c:v>
                </c:pt>
                <c:pt idx="5">
                  <c:v>20863</c:v>
                </c:pt>
                <c:pt idx="6">
                  <c:v>20863.5</c:v>
                </c:pt>
              </c:numCache>
            </c:numRef>
          </c:xVal>
          <c:yVal>
            <c:numRef>
              <c:f>'Active 1'!$K$21:$K$27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92-4F30-9769-5B555E45F500}"/>
            </c:ext>
          </c:extLst>
        </c:ser>
        <c:ser>
          <c:idx val="4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1'!$F$21:$F$27</c:f>
              <c:numCache>
                <c:formatCode>General</c:formatCode>
                <c:ptCount val="7"/>
                <c:pt idx="0">
                  <c:v>0</c:v>
                </c:pt>
                <c:pt idx="1">
                  <c:v>14689.5</c:v>
                </c:pt>
                <c:pt idx="2">
                  <c:v>13619.5</c:v>
                </c:pt>
                <c:pt idx="3">
                  <c:v>24715.5</c:v>
                </c:pt>
                <c:pt idx="4">
                  <c:v>20783</c:v>
                </c:pt>
                <c:pt idx="5">
                  <c:v>20863</c:v>
                </c:pt>
                <c:pt idx="6">
                  <c:v>20863.5</c:v>
                </c:pt>
              </c:numCache>
            </c:numRef>
          </c:xVal>
          <c:yVal>
            <c:numRef>
              <c:f>'Active 1'!$L$21:$L$27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192-4F30-9769-5B555E45F500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1'!$F$21:$F$27</c:f>
              <c:numCache>
                <c:formatCode>General</c:formatCode>
                <c:ptCount val="7"/>
                <c:pt idx="0">
                  <c:v>0</c:v>
                </c:pt>
                <c:pt idx="1">
                  <c:v>14689.5</c:v>
                </c:pt>
                <c:pt idx="2">
                  <c:v>13619.5</c:v>
                </c:pt>
                <c:pt idx="3">
                  <c:v>24715.5</c:v>
                </c:pt>
                <c:pt idx="4">
                  <c:v>20783</c:v>
                </c:pt>
                <c:pt idx="5">
                  <c:v>20863</c:v>
                </c:pt>
                <c:pt idx="6">
                  <c:v>20863.5</c:v>
                </c:pt>
              </c:numCache>
            </c:numRef>
          </c:xVal>
          <c:yVal>
            <c:numRef>
              <c:f>'Active 1'!$M$21:$M$27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192-4F30-9769-5B555E45F500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1'!$F$21:$F$27</c:f>
              <c:numCache>
                <c:formatCode>General</c:formatCode>
                <c:ptCount val="7"/>
                <c:pt idx="0">
                  <c:v>0</c:v>
                </c:pt>
                <c:pt idx="1">
                  <c:v>14689.5</c:v>
                </c:pt>
                <c:pt idx="2">
                  <c:v>13619.5</c:v>
                </c:pt>
                <c:pt idx="3">
                  <c:v>24715.5</c:v>
                </c:pt>
                <c:pt idx="4">
                  <c:v>20783</c:v>
                </c:pt>
                <c:pt idx="5">
                  <c:v>20863</c:v>
                </c:pt>
                <c:pt idx="6">
                  <c:v>20863.5</c:v>
                </c:pt>
              </c:numCache>
            </c:numRef>
          </c:xVal>
          <c:yVal>
            <c:numRef>
              <c:f>'Active 1'!$N$21:$N$27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192-4F30-9769-5B555E45F500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1'!$F$21:$F$27</c:f>
              <c:numCache>
                <c:formatCode>General</c:formatCode>
                <c:ptCount val="7"/>
                <c:pt idx="0">
                  <c:v>0</c:v>
                </c:pt>
                <c:pt idx="1">
                  <c:v>14689.5</c:v>
                </c:pt>
                <c:pt idx="2">
                  <c:v>13619.5</c:v>
                </c:pt>
                <c:pt idx="3">
                  <c:v>24715.5</c:v>
                </c:pt>
                <c:pt idx="4">
                  <c:v>20783</c:v>
                </c:pt>
                <c:pt idx="5">
                  <c:v>20863</c:v>
                </c:pt>
                <c:pt idx="6">
                  <c:v>20863.5</c:v>
                </c:pt>
              </c:numCache>
            </c:numRef>
          </c:xVal>
          <c:yVal>
            <c:numRef>
              <c:f>'Active 1'!$O$21:$O$27</c:f>
              <c:numCache>
                <c:formatCode>General</c:formatCode>
                <c:ptCount val="7"/>
                <c:pt idx="0">
                  <c:v>-7.4506645683340075E-3</c:v>
                </c:pt>
                <c:pt idx="1">
                  <c:v>2.5560430204278381E-2</c:v>
                </c:pt>
                <c:pt idx="2">
                  <c:v>2.3155864262163588E-2</c:v>
                </c:pt>
                <c:pt idx="3">
                  <c:v>4.8091437807682977E-2</c:v>
                </c:pt>
                <c:pt idx="4">
                  <c:v>3.9254096155938653E-2</c:v>
                </c:pt>
                <c:pt idx="5">
                  <c:v>3.9433876787124809E-2</c:v>
                </c:pt>
                <c:pt idx="6">
                  <c:v>3.9435000416069725E-2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192-4F30-9769-5B555E45F500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'Active 1'!$F$21:$F$27</c:f>
              <c:numCache>
                <c:formatCode>General</c:formatCode>
                <c:ptCount val="7"/>
                <c:pt idx="0">
                  <c:v>0</c:v>
                </c:pt>
                <c:pt idx="1">
                  <c:v>14689.5</c:v>
                </c:pt>
                <c:pt idx="2">
                  <c:v>13619.5</c:v>
                </c:pt>
                <c:pt idx="3">
                  <c:v>24715.5</c:v>
                </c:pt>
                <c:pt idx="4">
                  <c:v>20783</c:v>
                </c:pt>
                <c:pt idx="5">
                  <c:v>20863</c:v>
                </c:pt>
                <c:pt idx="6">
                  <c:v>20863.5</c:v>
                </c:pt>
              </c:numCache>
            </c:numRef>
          </c:xVal>
          <c:yVal>
            <c:numRef>
              <c:f>'Active 1'!$U$21:$U$27</c:f>
              <c:numCache>
                <c:formatCode>General</c:formatCode>
                <c:ptCount val="7"/>
                <c:pt idx="3">
                  <c:v>5.5460062438214663E-2</c:v>
                </c:pt>
                <c:pt idx="4">
                  <c:v>4.0120999939972535E-2</c:v>
                </c:pt>
                <c:pt idx="5">
                  <c:v>3.1900999769277405E-2</c:v>
                </c:pt>
                <c:pt idx="6">
                  <c:v>3.1949500102200545E-2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192-4F30-9769-5B555E45F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021272"/>
        <c:axId val="1"/>
      </c:scatterChart>
      <c:valAx>
        <c:axId val="828021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78947368421058"/>
              <c:y val="0.867870390075114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142857142857141E-2"/>
              <c:y val="0.420421681524043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802127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5789473684210525"/>
          <c:y val="0.90090342310814753"/>
          <c:w val="0.77593984962406015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0140-0964 - O-C Diagr.</a:t>
            </a:r>
          </a:p>
        </c:rich>
      </c:tx>
      <c:layout>
        <c:manualLayout>
          <c:xMode val="edge"/>
          <c:yMode val="edge"/>
          <c:x val="0.33729600293276862"/>
          <c:y val="4.50450450450450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6732068347816"/>
          <c:y val="0.2372379329659727"/>
          <c:w val="0.8127791929641015"/>
          <c:h val="0.5495511611743418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2'!$F$21:$F$24</c:f>
              <c:numCache>
                <c:formatCode>General</c:formatCode>
                <c:ptCount val="4"/>
                <c:pt idx="0">
                  <c:v>0</c:v>
                </c:pt>
                <c:pt idx="1">
                  <c:v>13619.5</c:v>
                </c:pt>
                <c:pt idx="2">
                  <c:v>14689.5</c:v>
                </c:pt>
                <c:pt idx="3">
                  <c:v>20783</c:v>
                </c:pt>
              </c:numCache>
            </c:numRef>
          </c:xVal>
          <c:yVal>
            <c:numRef>
              <c:f>'Active 2'!$H$21:$H$24</c:f>
              <c:numCache>
                <c:formatCode>General</c:formatCode>
                <c:ptCount val="4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FE-468A-B21E-A8D6AF590918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'Active 2'!$F$21:$F$24</c:f>
              <c:numCache>
                <c:formatCode>General</c:formatCode>
                <c:ptCount val="4"/>
                <c:pt idx="0">
                  <c:v>0</c:v>
                </c:pt>
                <c:pt idx="1">
                  <c:v>13619.5</c:v>
                </c:pt>
                <c:pt idx="2">
                  <c:v>14689.5</c:v>
                </c:pt>
                <c:pt idx="3">
                  <c:v>20783</c:v>
                </c:pt>
              </c:numCache>
            </c:numRef>
          </c:xVal>
          <c:yVal>
            <c:numRef>
              <c:f>'Active 2'!$I$21:$I$24</c:f>
              <c:numCache>
                <c:formatCode>General</c:formatCode>
                <c:ptCount val="4"/>
                <c:pt idx="2">
                  <c:v>1.9381500002054963E-2</c:v>
                </c:pt>
                <c:pt idx="3">
                  <c:v>4.0120999939972535E-2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FE-468A-B21E-A8D6AF590918}"/>
            </c:ext>
          </c:extLst>
        </c:ser>
        <c:ser>
          <c:idx val="2"/>
          <c:order val="2"/>
          <c:tx>
            <c:strRef>
              <c:f>'Active 2'!$J$20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c:spPr>
          </c:marker>
          <c:xVal>
            <c:numRef>
              <c:f>'Active 2'!$F$21:$F$24</c:f>
              <c:numCache>
                <c:formatCode>General</c:formatCode>
                <c:ptCount val="4"/>
                <c:pt idx="0">
                  <c:v>0</c:v>
                </c:pt>
                <c:pt idx="1">
                  <c:v>13619.5</c:v>
                </c:pt>
                <c:pt idx="2">
                  <c:v>14689.5</c:v>
                </c:pt>
                <c:pt idx="3">
                  <c:v>20783</c:v>
                </c:pt>
              </c:numCache>
            </c:numRef>
          </c:xVal>
          <c:yVal>
            <c:numRef>
              <c:f>'Active 2'!$J$21:$J$24</c:f>
              <c:numCache>
                <c:formatCode>General</c:formatCode>
                <c:ptCount val="4"/>
                <c:pt idx="1">
                  <c:v>1.829149999684887E-2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FE-468A-B21E-A8D6AF590918}"/>
            </c:ext>
          </c:extLst>
        </c:ser>
        <c:ser>
          <c:idx val="3"/>
          <c:order val="3"/>
          <c:tx>
            <c:strRef>
              <c:f>'Active 2'!$K$20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'Active 2'!$F$21:$F$24</c:f>
              <c:numCache>
                <c:formatCode>General</c:formatCode>
                <c:ptCount val="4"/>
                <c:pt idx="0">
                  <c:v>0</c:v>
                </c:pt>
                <c:pt idx="1">
                  <c:v>13619.5</c:v>
                </c:pt>
                <c:pt idx="2">
                  <c:v>14689.5</c:v>
                </c:pt>
                <c:pt idx="3">
                  <c:v>20783</c:v>
                </c:pt>
              </c:numCache>
            </c:numRef>
          </c:xVal>
          <c:yVal>
            <c:numRef>
              <c:f>'Active 2'!$K$21:$K$24</c:f>
              <c:numCache>
                <c:formatCode>General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FE-468A-B21E-A8D6AF590918}"/>
            </c:ext>
          </c:extLst>
        </c:ser>
        <c:ser>
          <c:idx val="4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'Active 2'!$F$21:$F$24</c:f>
              <c:numCache>
                <c:formatCode>General</c:formatCode>
                <c:ptCount val="4"/>
                <c:pt idx="0">
                  <c:v>0</c:v>
                </c:pt>
                <c:pt idx="1">
                  <c:v>13619.5</c:v>
                </c:pt>
                <c:pt idx="2">
                  <c:v>14689.5</c:v>
                </c:pt>
                <c:pt idx="3">
                  <c:v>20783</c:v>
                </c:pt>
              </c:numCache>
            </c:numRef>
          </c:xVal>
          <c:yVal>
            <c:numRef>
              <c:f>'Active 2'!$L$21:$L$24</c:f>
              <c:numCache>
                <c:formatCode>General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FE-468A-B21E-A8D6AF590918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'Active 2'!$F$21:$F$24</c:f>
              <c:numCache>
                <c:formatCode>General</c:formatCode>
                <c:ptCount val="4"/>
                <c:pt idx="0">
                  <c:v>0</c:v>
                </c:pt>
                <c:pt idx="1">
                  <c:v>13619.5</c:v>
                </c:pt>
                <c:pt idx="2">
                  <c:v>14689.5</c:v>
                </c:pt>
                <c:pt idx="3">
                  <c:v>20783</c:v>
                </c:pt>
              </c:numCache>
            </c:numRef>
          </c:xVal>
          <c:yVal>
            <c:numRef>
              <c:f>'Active 2'!$M$21:$M$24</c:f>
              <c:numCache>
                <c:formatCode>General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FE-468A-B21E-A8D6AF590918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'Active 2'!$F$21:$F$24</c:f>
              <c:numCache>
                <c:formatCode>General</c:formatCode>
                <c:ptCount val="4"/>
                <c:pt idx="0">
                  <c:v>0</c:v>
                </c:pt>
                <c:pt idx="1">
                  <c:v>13619.5</c:v>
                </c:pt>
                <c:pt idx="2">
                  <c:v>14689.5</c:v>
                </c:pt>
                <c:pt idx="3">
                  <c:v>20783</c:v>
                </c:pt>
              </c:numCache>
            </c:numRef>
          </c:xVal>
          <c:yVal>
            <c:numRef>
              <c:f>'Active 2'!$N$21:$N$24</c:f>
              <c:numCache>
                <c:formatCode>General</c:formatCode>
                <c:ptCount val="4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FE-468A-B21E-A8D6AF590918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2'!$F$21:$F$24</c:f>
              <c:numCache>
                <c:formatCode>General</c:formatCode>
                <c:ptCount val="4"/>
                <c:pt idx="0">
                  <c:v>0</c:v>
                </c:pt>
                <c:pt idx="1">
                  <c:v>13619.5</c:v>
                </c:pt>
                <c:pt idx="2">
                  <c:v>14689.5</c:v>
                </c:pt>
                <c:pt idx="3">
                  <c:v>20783</c:v>
                </c:pt>
              </c:numCache>
            </c:numRef>
          </c:xVal>
          <c:yVal>
            <c:numRef>
              <c:f>'Active 2'!$O$21:$O$24</c:f>
              <c:numCache>
                <c:formatCode>General</c:formatCode>
                <c:ptCount val="4"/>
                <c:pt idx="0">
                  <c:v>-7.4506645683340075E-3</c:v>
                </c:pt>
                <c:pt idx="1">
                  <c:v>2.3155864262163588E-2</c:v>
                </c:pt>
                <c:pt idx="2">
                  <c:v>2.5560430204278381E-2</c:v>
                </c:pt>
                <c:pt idx="3">
                  <c:v>3.9254096155938653E-2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FE-468A-B21E-A8D6AF590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8026520"/>
        <c:axId val="1"/>
      </c:scatterChart>
      <c:valAx>
        <c:axId val="828026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7386325966315"/>
              <c:y val="0.867870390075114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6463595839524518E-2"/>
              <c:y val="0.420421681524043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8026520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396746654810792"/>
          <c:y val="0.90090342310814753"/>
          <c:w val="0.67310596576616633"/>
          <c:h val="6.006037533596586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1000125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DDC82A2-E542-7AAE-1FD8-1D3341F2B6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2051" name="Chart 1">
          <a:extLst>
            <a:ext uri="{FF2B5EF4-FFF2-40B4-BE49-F238E27FC236}">
              <a16:creationId xmlns:a16="http://schemas.microsoft.com/office/drawing/2014/main" id="{CF9D5CB7-A4EA-0CAA-9AE0-588F4D7A79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8.1406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1.140625" style="1" customWidth="1"/>
    <col min="6" max="6" width="15.14062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2" t="s">
        <v>54</v>
      </c>
    </row>
    <row r="2" spans="1:6" x14ac:dyDescent="0.2">
      <c r="A2" s="1" t="s">
        <v>1</v>
      </c>
      <c r="B2" s="3" t="s">
        <v>2</v>
      </c>
      <c r="D2" s="4" t="s">
        <v>3</v>
      </c>
    </row>
    <row r="4" spans="1:6" x14ac:dyDescent="0.2">
      <c r="A4" s="5" t="s">
        <v>4</v>
      </c>
      <c r="C4" s="6" t="s">
        <v>5</v>
      </c>
      <c r="D4" s="7" t="s">
        <v>5</v>
      </c>
    </row>
    <row r="5" spans="1:6" x14ac:dyDescent="0.2">
      <c r="A5" s="8" t="s">
        <v>6</v>
      </c>
      <c r="B5"/>
      <c r="C5" s="9">
        <v>-9.5</v>
      </c>
      <c r="D5" t="s">
        <v>7</v>
      </c>
    </row>
    <row r="6" spans="1:6" x14ac:dyDescent="0.2">
      <c r="A6" s="5" t="s">
        <v>8</v>
      </c>
    </row>
    <row r="7" spans="1:6" x14ac:dyDescent="0.2">
      <c r="A7" s="1" t="s">
        <v>9</v>
      </c>
      <c r="C7" s="1">
        <v>51525.891000000003</v>
      </c>
      <c r="D7" s="3" t="s">
        <v>10</v>
      </c>
      <c r="E7" s="3"/>
    </row>
    <row r="8" spans="1:6" x14ac:dyDescent="0.2">
      <c r="A8" s="1" t="s">
        <v>11</v>
      </c>
      <c r="C8" s="1">
        <v>0.29830299999999998</v>
      </c>
      <c r="D8" s="3" t="s">
        <v>10</v>
      </c>
    </row>
    <row r="9" spans="1:6" x14ac:dyDescent="0.2">
      <c r="A9" s="10" t="s">
        <v>12</v>
      </c>
      <c r="B9" s="11">
        <v>21</v>
      </c>
      <c r="C9" s="12" t="str">
        <f>"F"&amp;B9</f>
        <v>F21</v>
      </c>
      <c r="D9" s="13" t="str">
        <f>"G"&amp;B9</f>
        <v>G21</v>
      </c>
    </row>
    <row r="10" spans="1:6" x14ac:dyDescent="0.2">
      <c r="A10"/>
      <c r="B10"/>
      <c r="C10" s="14" t="s">
        <v>13</v>
      </c>
      <c r="D10" s="14" t="s">
        <v>14</v>
      </c>
      <c r="E10"/>
    </row>
    <row r="11" spans="1:6" x14ac:dyDescent="0.2">
      <c r="A11" t="s">
        <v>15</v>
      </c>
      <c r="B11"/>
      <c r="C11" s="15">
        <f ca="1">INTERCEPT(INDIRECT($D$9):G992,INDIRECT($C$9):F992)</f>
        <v>-7.4506645683340075E-3</v>
      </c>
      <c r="D11" s="4"/>
      <c r="E11"/>
    </row>
    <row r="12" spans="1:6" x14ac:dyDescent="0.2">
      <c r="A12" t="s">
        <v>16</v>
      </c>
      <c r="B12"/>
      <c r="C12" s="15">
        <f ca="1">SLOPE(INDIRECT($D$9):G992,INDIRECT($C$9):F992)</f>
        <v>2.2472578898269097E-6</v>
      </c>
      <c r="D12" s="4"/>
      <c r="E12"/>
    </row>
    <row r="13" spans="1:6" x14ac:dyDescent="0.2">
      <c r="A13" t="s">
        <v>17</v>
      </c>
      <c r="B13"/>
      <c r="C13" s="4" t="s">
        <v>18</v>
      </c>
    </row>
    <row r="14" spans="1:6" x14ac:dyDescent="0.2">
      <c r="A14"/>
      <c r="B14"/>
      <c r="C14"/>
    </row>
    <row r="15" spans="1:6" x14ac:dyDescent="0.2">
      <c r="A15" s="16" t="s">
        <v>19</v>
      </c>
      <c r="B15"/>
      <c r="C15" s="17">
        <f ca="1">(C7+C11)+(C8+C12)*INT(MAX(F21:F3533))</f>
        <v>59633.223559310361</v>
      </c>
      <c r="E15" s="18" t="s">
        <v>20</v>
      </c>
      <c r="F15" s="9">
        <v>1</v>
      </c>
    </row>
    <row r="16" spans="1:6" x14ac:dyDescent="0.2">
      <c r="A16" s="16" t="s">
        <v>21</v>
      </c>
      <c r="B16"/>
      <c r="C16" s="17">
        <f ca="1">+C8+C12</f>
        <v>0.29830524725788982</v>
      </c>
      <c r="E16" s="18" t="s">
        <v>22</v>
      </c>
      <c r="F16" s="15">
        <f ca="1">NOW()+15018.5+$C$5/24</f>
        <v>59963.782246064809</v>
      </c>
    </row>
    <row r="17" spans="1:21" x14ac:dyDescent="0.2">
      <c r="A17" s="18" t="s">
        <v>23</v>
      </c>
      <c r="B17"/>
      <c r="C17">
        <f>COUNT(C21:C2191)</f>
        <v>9</v>
      </c>
      <c r="E17" s="18" t="s">
        <v>24</v>
      </c>
      <c r="F17" s="15">
        <f ca="1">ROUND(2*(F16-$C$7)/$C$8,0)/2+F15</f>
        <v>28287.5</v>
      </c>
    </row>
    <row r="18" spans="1:21" x14ac:dyDescent="0.2">
      <c r="A18" s="16" t="s">
        <v>25</v>
      </c>
      <c r="B18"/>
      <c r="C18" s="19">
        <f ca="1">+C15</f>
        <v>59633.223559310361</v>
      </c>
      <c r="D18" s="20">
        <f ca="1">+C16</f>
        <v>0.29830524725788982</v>
      </c>
      <c r="E18" s="18" t="s">
        <v>26</v>
      </c>
      <c r="F18" s="13">
        <f ca="1">ROUND(2*(F16-$C$15)/$C$16,0)/2+F15</f>
        <v>1109</v>
      </c>
    </row>
    <row r="19" spans="1:21" x14ac:dyDescent="0.2">
      <c r="E19" s="18" t="s">
        <v>27</v>
      </c>
      <c r="F19" s="21">
        <f ca="1">+$C$15+$C$16*F18-15018.5-$C$5/24</f>
        <v>44945.9399118527</v>
      </c>
    </row>
    <row r="20" spans="1:21" x14ac:dyDescent="0.2">
      <c r="A20" s="14" t="s">
        <v>28</v>
      </c>
      <c r="B20" s="14" t="s">
        <v>29</v>
      </c>
      <c r="C20" s="14" t="s">
        <v>30</v>
      </c>
      <c r="D20" s="14" t="s">
        <v>31</v>
      </c>
      <c r="E20" s="14" t="s">
        <v>32</v>
      </c>
      <c r="F20" s="14" t="s">
        <v>33</v>
      </c>
      <c r="G20" s="14" t="s">
        <v>34</v>
      </c>
      <c r="H20" s="22" t="s">
        <v>35</v>
      </c>
      <c r="I20" s="22" t="s">
        <v>36</v>
      </c>
      <c r="J20" s="22" t="s">
        <v>35</v>
      </c>
      <c r="K20" s="22" t="s">
        <v>37</v>
      </c>
      <c r="L20" s="22" t="s">
        <v>38</v>
      </c>
      <c r="M20" s="22" t="s">
        <v>39</v>
      </c>
      <c r="N20" s="22" t="s">
        <v>40</v>
      </c>
      <c r="O20" s="22" t="s">
        <v>41</v>
      </c>
      <c r="P20" s="22" t="s">
        <v>42</v>
      </c>
      <c r="Q20" s="14" t="s">
        <v>43</v>
      </c>
      <c r="U20" s="1" t="s">
        <v>44</v>
      </c>
    </row>
    <row r="21" spans="1:21" x14ac:dyDescent="0.2">
      <c r="A21" s="3" t="s">
        <v>10</v>
      </c>
      <c r="C21" s="23">
        <v>51525.891000000003</v>
      </c>
      <c r="D21" s="23" t="s">
        <v>18</v>
      </c>
      <c r="E21" s="1">
        <f t="shared" ref="E21:E27" si="0">+(C21-C$7)/C$8</f>
        <v>0</v>
      </c>
      <c r="F21" s="1">
        <f t="shared" ref="F21:F28" si="1">ROUND(2*E21,0)/2</f>
        <v>0</v>
      </c>
      <c r="G21" s="1">
        <f t="shared" ref="G21:G28" si="2">+C21-(C$7+F21*C$8)</f>
        <v>0</v>
      </c>
      <c r="H21" s="1">
        <f>+G21</f>
        <v>0</v>
      </c>
      <c r="O21" s="1">
        <f t="shared" ref="O21:O27" ca="1" si="3">+C$11+C$12*$F21</f>
        <v>-7.4506645683340075E-3</v>
      </c>
      <c r="Q21" s="37">
        <f t="shared" ref="Q21:Q27" si="4">+C21-15018.5</f>
        <v>36507.391000000003</v>
      </c>
    </row>
    <row r="22" spans="1:21" x14ac:dyDescent="0.2">
      <c r="A22" s="5" t="s">
        <v>45</v>
      </c>
      <c r="C22" s="23">
        <v>55907.832300000002</v>
      </c>
      <c r="D22" s="23">
        <v>2.9999999999999997E-4</v>
      </c>
      <c r="E22" s="1">
        <f t="shared" si="0"/>
        <v>14689.564972527929</v>
      </c>
      <c r="F22" s="1">
        <f t="shared" si="1"/>
        <v>14689.5</v>
      </c>
      <c r="G22" s="1">
        <f t="shared" si="2"/>
        <v>1.9381500002054963E-2</v>
      </c>
      <c r="I22" s="1">
        <f>+G22</f>
        <v>1.9381500002054963E-2</v>
      </c>
      <c r="O22" s="1">
        <f t="shared" ca="1" si="3"/>
        <v>2.5560430204278381E-2</v>
      </c>
      <c r="Q22" s="37">
        <f t="shared" si="4"/>
        <v>40889.332300000002</v>
      </c>
      <c r="R22" s="1" t="str">
        <f>IF(ABS(C22-C21)&lt;0.00001,1,"")</f>
        <v/>
      </c>
    </row>
    <row r="23" spans="1:21" x14ac:dyDescent="0.2">
      <c r="A23" s="24" t="s">
        <v>46</v>
      </c>
      <c r="B23" s="25" t="s">
        <v>47</v>
      </c>
      <c r="C23" s="24">
        <v>55588.646999999997</v>
      </c>
      <c r="D23" s="24">
        <v>2.9999999999999997E-4</v>
      </c>
      <c r="E23" s="1">
        <f t="shared" si="0"/>
        <v>13619.561318525104</v>
      </c>
      <c r="F23" s="1">
        <f t="shared" si="1"/>
        <v>13619.5</v>
      </c>
      <c r="G23" s="1">
        <f t="shared" si="2"/>
        <v>1.829149999684887E-2</v>
      </c>
      <c r="J23" s="1">
        <f>+G23</f>
        <v>1.829149999684887E-2</v>
      </c>
      <c r="O23" s="1">
        <f t="shared" ca="1" si="3"/>
        <v>2.3155864262163588E-2</v>
      </c>
      <c r="Q23" s="37">
        <f t="shared" si="4"/>
        <v>40570.146999999997</v>
      </c>
    </row>
    <row r="24" spans="1:21" x14ac:dyDescent="0.2">
      <c r="A24" s="5" t="s">
        <v>48</v>
      </c>
      <c r="C24" s="23">
        <v>58898.65425656244</v>
      </c>
      <c r="D24" s="23">
        <v>2.9999999999999997E-4</v>
      </c>
      <c r="E24" s="1">
        <f t="shared" si="0"/>
        <v>24715.685918554078</v>
      </c>
      <c r="F24" s="1">
        <f t="shared" si="1"/>
        <v>24715.5</v>
      </c>
      <c r="G24" s="1">
        <f t="shared" si="2"/>
        <v>5.5460062438214663E-2</v>
      </c>
      <c r="I24" s="1">
        <f>U24</f>
        <v>5.5460062438214663E-2</v>
      </c>
      <c r="O24" s="1">
        <f t="shared" ca="1" si="3"/>
        <v>4.8091437807682977E-2</v>
      </c>
      <c r="Q24" s="37">
        <f t="shared" si="4"/>
        <v>43880.15425656244</v>
      </c>
      <c r="U24" s="1">
        <f>+C24-(C$7+F24*C$8)</f>
        <v>5.5460062438214663E-2</v>
      </c>
    </row>
    <row r="25" spans="1:21" x14ac:dyDescent="0.2">
      <c r="A25" s="26" t="s">
        <v>49</v>
      </c>
      <c r="B25" s="27" t="s">
        <v>50</v>
      </c>
      <c r="C25" s="28">
        <v>57725.562369999941</v>
      </c>
      <c r="D25" s="28">
        <v>5.0000000000000001E-4</v>
      </c>
      <c r="E25" s="1">
        <f t="shared" si="0"/>
        <v>20783.134497473839</v>
      </c>
      <c r="F25" s="1">
        <f t="shared" si="1"/>
        <v>20783</v>
      </c>
      <c r="G25" s="1">
        <f t="shared" si="2"/>
        <v>4.0120999939972535E-2</v>
      </c>
      <c r="I25" s="1">
        <f>U25</f>
        <v>4.0120999939972535E-2</v>
      </c>
      <c r="O25" s="1">
        <f t="shared" ca="1" si="3"/>
        <v>3.9254096155938653E-2</v>
      </c>
      <c r="Q25" s="37">
        <f t="shared" si="4"/>
        <v>42707.062369999941</v>
      </c>
      <c r="U25" s="1">
        <f>+C25-(C$7+F25*C$8)</f>
        <v>4.0120999939972535E-2</v>
      </c>
    </row>
    <row r="26" spans="1:21" x14ac:dyDescent="0.2">
      <c r="A26" s="26" t="s">
        <v>49</v>
      </c>
      <c r="B26" s="27" t="s">
        <v>50</v>
      </c>
      <c r="C26" s="28">
        <v>57749.418389999773</v>
      </c>
      <c r="D26" s="28">
        <v>6.9999999999999999E-4</v>
      </c>
      <c r="E26" s="1">
        <f t="shared" si="0"/>
        <v>20863.106941598879</v>
      </c>
      <c r="F26" s="1">
        <f t="shared" si="1"/>
        <v>20863</v>
      </c>
      <c r="G26" s="1">
        <f t="shared" si="2"/>
        <v>3.1900999769277405E-2</v>
      </c>
      <c r="I26" s="1">
        <f>U26</f>
        <v>3.1900999769277405E-2</v>
      </c>
      <c r="O26" s="1">
        <f t="shared" ca="1" si="3"/>
        <v>3.9433876787124809E-2</v>
      </c>
      <c r="Q26" s="37">
        <f t="shared" si="4"/>
        <v>42730.918389999773</v>
      </c>
      <c r="U26" s="1">
        <f>+C26-(C$7+F26*C$8)</f>
        <v>3.1900999769277405E-2</v>
      </c>
    </row>
    <row r="27" spans="1:21" ht="12" customHeight="1" x14ac:dyDescent="0.2">
      <c r="A27" s="26" t="s">
        <v>49</v>
      </c>
      <c r="B27" s="27" t="s">
        <v>47</v>
      </c>
      <c r="C27" s="28">
        <v>57749.567590000108</v>
      </c>
      <c r="D27" s="28">
        <v>1.4E-3</v>
      </c>
      <c r="E27" s="1">
        <f t="shared" si="0"/>
        <v>20863.607104186365</v>
      </c>
      <c r="F27" s="1">
        <f t="shared" si="1"/>
        <v>20863.5</v>
      </c>
      <c r="G27" s="1">
        <f t="shared" si="2"/>
        <v>3.1949500102200545E-2</v>
      </c>
      <c r="I27" s="1">
        <f>U27</f>
        <v>3.1949500102200545E-2</v>
      </c>
      <c r="O27" s="1">
        <f t="shared" ca="1" si="3"/>
        <v>3.9435000416069725E-2</v>
      </c>
      <c r="Q27" s="37">
        <f t="shared" si="4"/>
        <v>42731.067590000108</v>
      </c>
      <c r="U27" s="1">
        <f>+C27-(C$7+F27*C$8)</f>
        <v>3.1949500102200545E-2</v>
      </c>
    </row>
    <row r="28" spans="1:21" ht="12" customHeight="1" x14ac:dyDescent="0.2">
      <c r="A28" s="30" t="s">
        <v>52</v>
      </c>
      <c r="B28" s="31" t="s">
        <v>50</v>
      </c>
      <c r="C28" s="32">
        <v>58161.686161999998</v>
      </c>
      <c r="D28" s="32">
        <v>6.2000000000000003E-5</v>
      </c>
      <c r="E28" s="1">
        <f>+(C28-C$7)/C$8</f>
        <v>22245.15060860935</v>
      </c>
      <c r="F28" s="1">
        <f t="shared" si="1"/>
        <v>22245</v>
      </c>
      <c r="G28" s="1">
        <f t="shared" si="2"/>
        <v>4.4926999995368533E-2</v>
      </c>
      <c r="I28" s="1">
        <f>U28</f>
        <v>4.4926999995368533E-2</v>
      </c>
      <c r="O28" s="1">
        <f ca="1">+C$11+C$12*$F28</f>
        <v>4.2539587190865598E-2</v>
      </c>
      <c r="Q28" s="37">
        <f>+C28-15018.5</f>
        <v>43143.186161999998</v>
      </c>
      <c r="U28" s="1">
        <f>+C28-(C$7+F28*C$8)</f>
        <v>4.4926999995368533E-2</v>
      </c>
    </row>
    <row r="29" spans="1:21" ht="12" customHeight="1" x14ac:dyDescent="0.2">
      <c r="A29" s="34" t="s">
        <v>53</v>
      </c>
      <c r="B29" s="35" t="s">
        <v>50</v>
      </c>
      <c r="C29" s="36">
        <v>59633.380700000002</v>
      </c>
      <c r="D29" s="34">
        <v>1E-4</v>
      </c>
      <c r="E29" s="1">
        <f>+(C29-C$7)/C$8</f>
        <v>27178.706550051455</v>
      </c>
      <c r="F29" s="1">
        <f t="shared" ref="F29" si="5">ROUND(2*E29,0)/2</f>
        <v>27178.5</v>
      </c>
      <c r="G29" s="1">
        <f t="shared" ref="G29" si="6">+C29-(C$7+F29*C$8)</f>
        <v>6.1614500002178829E-2</v>
      </c>
      <c r="I29" s="1">
        <f>U29</f>
        <v>0</v>
      </c>
      <c r="O29" s="1">
        <f ca="1">+C$11+C$12*$F29</f>
        <v>5.3626433990326655E-2</v>
      </c>
      <c r="Q29" s="37">
        <f>+C29-15018.5</f>
        <v>44614.880700000002</v>
      </c>
    </row>
    <row r="30" spans="1:21" ht="12" customHeight="1" x14ac:dyDescent="0.2"/>
    <row r="31" spans="1:21" ht="12" customHeight="1" x14ac:dyDescent="0.2"/>
    <row r="32" spans="1:21" ht="12" customHeight="1" x14ac:dyDescent="0.2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workbookViewId="0">
      <selection activeCell="S32" sqref="S32"/>
    </sheetView>
  </sheetViews>
  <sheetFormatPr defaultColWidth="10.28515625" defaultRowHeight="12.75" x14ac:dyDescent="0.2"/>
  <cols>
    <col min="1" max="1" width="17.5703125" style="1" customWidth="1"/>
    <col min="2" max="2" width="3.85546875" style="1" customWidth="1"/>
    <col min="3" max="3" width="11.85546875" style="1" customWidth="1"/>
    <col min="4" max="4" width="9.42578125" style="1" customWidth="1"/>
    <col min="5" max="5" width="18.7109375" style="1" customWidth="1"/>
    <col min="6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7" ht="20.25" x14ac:dyDescent="0.3">
      <c r="A1" s="2" t="s">
        <v>0</v>
      </c>
    </row>
    <row r="2" spans="1:7" x14ac:dyDescent="0.2">
      <c r="A2" s="1" t="s">
        <v>1</v>
      </c>
      <c r="B2" s="3" t="s">
        <v>2</v>
      </c>
      <c r="D2" s="4" t="s">
        <v>3</v>
      </c>
    </row>
    <row r="4" spans="1:7" x14ac:dyDescent="0.2">
      <c r="A4" s="5" t="s">
        <v>4</v>
      </c>
      <c r="C4" s="6" t="s">
        <v>5</v>
      </c>
      <c r="D4" s="7" t="s">
        <v>5</v>
      </c>
    </row>
    <row r="6" spans="1:7" x14ac:dyDescent="0.2">
      <c r="A6" s="5" t="s">
        <v>8</v>
      </c>
    </row>
    <row r="7" spans="1:7" x14ac:dyDescent="0.2">
      <c r="A7" s="1" t="s">
        <v>9</v>
      </c>
      <c r="C7" s="1">
        <v>51525.891000000003</v>
      </c>
      <c r="D7" s="3" t="s">
        <v>10</v>
      </c>
      <c r="E7" s="3"/>
    </row>
    <row r="8" spans="1:7" x14ac:dyDescent="0.2">
      <c r="A8" s="1" t="s">
        <v>11</v>
      </c>
      <c r="C8" s="1">
        <v>0.29830299999999998</v>
      </c>
      <c r="D8" s="3" t="s">
        <v>10</v>
      </c>
    </row>
    <row r="9" spans="1:7" x14ac:dyDescent="0.2">
      <c r="A9" s="8" t="s">
        <v>6</v>
      </c>
      <c r="B9"/>
      <c r="C9" s="9">
        <v>-9.5</v>
      </c>
      <c r="D9" t="s">
        <v>7</v>
      </c>
      <c r="E9"/>
    </row>
    <row r="10" spans="1:7" x14ac:dyDescent="0.2">
      <c r="A10"/>
      <c r="B10"/>
      <c r="C10" s="14" t="s">
        <v>13</v>
      </c>
      <c r="D10" s="14" t="s">
        <v>14</v>
      </c>
      <c r="E10"/>
    </row>
    <row r="11" spans="1:7" x14ac:dyDescent="0.2">
      <c r="A11" t="s">
        <v>15</v>
      </c>
      <c r="B11"/>
      <c r="C11" s="15">
        <f ca="1">INTERCEPT(INDIRECT($G$11):G992,INDIRECT($F$11):F992)</f>
        <v>-7.4506645683340075E-3</v>
      </c>
      <c r="D11" s="4"/>
      <c r="E11"/>
      <c r="F11" s="12" t="str">
        <f>"F"&amp;E19</f>
        <v>F21</v>
      </c>
      <c r="G11" s="13" t="str">
        <f>"G"&amp;E19</f>
        <v>G21</v>
      </c>
    </row>
    <row r="12" spans="1:7" x14ac:dyDescent="0.2">
      <c r="A12" t="s">
        <v>16</v>
      </c>
      <c r="B12"/>
      <c r="C12" s="15">
        <f ca="1">SLOPE(INDIRECT($G$11):G992,INDIRECT($F$11):F992)</f>
        <v>2.2472578898269097E-6</v>
      </c>
      <c r="D12" s="4"/>
      <c r="E12"/>
    </row>
    <row r="13" spans="1:7" x14ac:dyDescent="0.2">
      <c r="A13" t="s">
        <v>17</v>
      </c>
      <c r="B13"/>
      <c r="C13" s="4" t="s">
        <v>18</v>
      </c>
      <c r="D13" s="18" t="s">
        <v>20</v>
      </c>
      <c r="E13" s="9">
        <v>1</v>
      </c>
    </row>
    <row r="14" spans="1:7" x14ac:dyDescent="0.2">
      <c r="A14"/>
      <c r="B14"/>
      <c r="C14"/>
      <c r="D14" s="18" t="s">
        <v>22</v>
      </c>
      <c r="E14" s="33">
        <f ca="1">NOW()+15018.5+$C$9/24</f>
        <v>59963.782246064809</v>
      </c>
    </row>
    <row r="15" spans="1:7" x14ac:dyDescent="0.2">
      <c r="A15" s="16" t="s">
        <v>19</v>
      </c>
      <c r="B15"/>
      <c r="C15" s="17">
        <f ca="1">(C7+C11)+(C8+C12)*INT(MAX(F21:F3533))</f>
        <v>59633.223559310361</v>
      </c>
      <c r="D15" s="18" t="s">
        <v>24</v>
      </c>
      <c r="E15" s="15">
        <f ca="1">ROUND(2*(E14-$C$7)/$C$8,0)/2+E13</f>
        <v>28287.5</v>
      </c>
    </row>
    <row r="16" spans="1:7" x14ac:dyDescent="0.2">
      <c r="A16" s="16" t="s">
        <v>21</v>
      </c>
      <c r="B16"/>
      <c r="C16" s="17">
        <f ca="1">+C8+C12</f>
        <v>0.29830524725788982</v>
      </c>
      <c r="D16" s="18" t="s">
        <v>26</v>
      </c>
      <c r="E16" s="13">
        <f ca="1">ROUND(2*(E14-$C$15)/$C$16,0)/2+E13</f>
        <v>1109</v>
      </c>
    </row>
    <row r="17" spans="1:18" x14ac:dyDescent="0.2">
      <c r="A17" s="18" t="s">
        <v>23</v>
      </c>
      <c r="B17"/>
      <c r="C17">
        <f>COUNT(C21:C2191)</f>
        <v>9</v>
      </c>
      <c r="D17" s="18" t="s">
        <v>27</v>
      </c>
      <c r="E17" s="21">
        <f ca="1">+$C$15+$C$16*E16-15018.5-$C$9/24</f>
        <v>44945.9399118527</v>
      </c>
    </row>
    <row r="18" spans="1:18" x14ac:dyDescent="0.2">
      <c r="A18" s="16" t="s">
        <v>25</v>
      </c>
      <c r="B18"/>
      <c r="C18" s="19">
        <f ca="1">+C15</f>
        <v>59633.223559310361</v>
      </c>
      <c r="D18" s="20">
        <f ca="1">+C16</f>
        <v>0.29830524725788982</v>
      </c>
      <c r="E18" s="29" t="s">
        <v>51</v>
      </c>
    </row>
    <row r="19" spans="1:18" x14ac:dyDescent="0.2">
      <c r="A19" s="10" t="s">
        <v>12</v>
      </c>
      <c r="E19" s="11">
        <v>21</v>
      </c>
    </row>
    <row r="20" spans="1:18" x14ac:dyDescent="0.2">
      <c r="A20" s="14" t="s">
        <v>28</v>
      </c>
      <c r="B20" s="14" t="s">
        <v>29</v>
      </c>
      <c r="C20" s="14" t="s">
        <v>30</v>
      </c>
      <c r="D20" s="14" t="s">
        <v>31</v>
      </c>
      <c r="E20" s="14" t="s">
        <v>32</v>
      </c>
      <c r="F20" s="14" t="s">
        <v>33</v>
      </c>
      <c r="G20" s="14" t="s">
        <v>34</v>
      </c>
      <c r="H20" s="22" t="s">
        <v>35</v>
      </c>
      <c r="I20" s="22" t="s">
        <v>36</v>
      </c>
      <c r="J20" s="22" t="s">
        <v>35</v>
      </c>
      <c r="K20" s="22" t="s">
        <v>37</v>
      </c>
      <c r="L20" s="22" t="s">
        <v>38</v>
      </c>
      <c r="M20" s="22" t="s">
        <v>39</v>
      </c>
      <c r="N20" s="22" t="s">
        <v>40</v>
      </c>
      <c r="O20" s="22" t="s">
        <v>41</v>
      </c>
      <c r="P20" s="22" t="s">
        <v>42</v>
      </c>
      <c r="Q20" s="14" t="s">
        <v>43</v>
      </c>
    </row>
    <row r="21" spans="1:18" x14ac:dyDescent="0.2">
      <c r="A21" s="3" t="s">
        <v>10</v>
      </c>
      <c r="C21" s="23">
        <v>51525.891000000003</v>
      </c>
      <c r="D21" s="23" t="s">
        <v>18</v>
      </c>
      <c r="E21" s="1">
        <f t="shared" ref="E21:E28" si="0">+(C21-C$7)/C$8</f>
        <v>0</v>
      </c>
      <c r="F21" s="1">
        <f t="shared" ref="F21:F29" si="1">ROUND(2*E21,0)/2</f>
        <v>0</v>
      </c>
      <c r="G21" s="1">
        <f t="shared" ref="G21:G28" si="2">+C21-(C$7+F21*C$8)</f>
        <v>0</v>
      </c>
      <c r="H21" s="1">
        <f>+G21</f>
        <v>0</v>
      </c>
      <c r="O21" s="1">
        <f t="shared" ref="O21:O28" ca="1" si="3">+C$11+C$12*$F21</f>
        <v>-7.4506645683340075E-3</v>
      </c>
      <c r="Q21" s="37">
        <f t="shared" ref="Q21:Q28" si="4">+C21-15018.5</f>
        <v>36507.391000000003</v>
      </c>
    </row>
    <row r="22" spans="1:18" x14ac:dyDescent="0.2">
      <c r="A22" s="24" t="s">
        <v>46</v>
      </c>
      <c r="B22" s="25" t="s">
        <v>47</v>
      </c>
      <c r="C22" s="24">
        <v>55588.646999999997</v>
      </c>
      <c r="D22" s="24">
        <v>2.9999999999999997E-4</v>
      </c>
      <c r="E22" s="1">
        <f t="shared" si="0"/>
        <v>13619.561318525104</v>
      </c>
      <c r="F22" s="1">
        <f t="shared" si="1"/>
        <v>13619.5</v>
      </c>
      <c r="G22" s="1">
        <f t="shared" si="2"/>
        <v>1.829149999684887E-2</v>
      </c>
      <c r="J22" s="1">
        <f>+G22</f>
        <v>1.829149999684887E-2</v>
      </c>
      <c r="O22" s="1">
        <f t="shared" ca="1" si="3"/>
        <v>2.3155864262163588E-2</v>
      </c>
      <c r="Q22" s="37">
        <f t="shared" si="4"/>
        <v>40570.146999999997</v>
      </c>
      <c r="R22" s="1" t="str">
        <f>IF(ABS(C22-C21)&lt;0.00001,1,"")</f>
        <v/>
      </c>
    </row>
    <row r="23" spans="1:18" x14ac:dyDescent="0.2">
      <c r="A23" s="5" t="s">
        <v>45</v>
      </c>
      <c r="C23" s="23">
        <v>55907.832300000002</v>
      </c>
      <c r="D23" s="23">
        <v>2.9999999999999997E-4</v>
      </c>
      <c r="E23" s="1">
        <f t="shared" si="0"/>
        <v>14689.564972527929</v>
      </c>
      <c r="F23" s="1">
        <f t="shared" si="1"/>
        <v>14689.5</v>
      </c>
      <c r="G23" s="1">
        <f t="shared" si="2"/>
        <v>1.9381500002054963E-2</v>
      </c>
      <c r="I23" s="1">
        <f>+G23</f>
        <v>1.9381500002054963E-2</v>
      </c>
      <c r="O23" s="1">
        <f t="shared" ca="1" si="3"/>
        <v>2.5560430204278381E-2</v>
      </c>
      <c r="Q23" s="37">
        <f t="shared" si="4"/>
        <v>40889.332300000002</v>
      </c>
    </row>
    <row r="24" spans="1:18" x14ac:dyDescent="0.2">
      <c r="A24" s="26" t="s">
        <v>49</v>
      </c>
      <c r="B24" s="27" t="s">
        <v>50</v>
      </c>
      <c r="C24" s="28">
        <v>57725.562369999941</v>
      </c>
      <c r="D24" s="28">
        <v>5.0000000000000001E-4</v>
      </c>
      <c r="E24" s="1">
        <f t="shared" si="0"/>
        <v>20783.134497473839</v>
      </c>
      <c r="F24" s="1">
        <f t="shared" si="1"/>
        <v>20783</v>
      </c>
      <c r="G24" s="1">
        <f t="shared" si="2"/>
        <v>4.0120999939972535E-2</v>
      </c>
      <c r="I24" s="1">
        <f>G24</f>
        <v>4.0120999939972535E-2</v>
      </c>
      <c r="O24" s="1">
        <f t="shared" ca="1" si="3"/>
        <v>3.9254096155938653E-2</v>
      </c>
      <c r="Q24" s="37">
        <f t="shared" si="4"/>
        <v>42707.062369999941</v>
      </c>
    </row>
    <row r="25" spans="1:18" x14ac:dyDescent="0.2">
      <c r="A25" s="26" t="s">
        <v>49</v>
      </c>
      <c r="B25" s="27" t="s">
        <v>50</v>
      </c>
      <c r="C25" s="28">
        <v>57749.418389999773</v>
      </c>
      <c r="D25" s="28">
        <v>6.9999999999999999E-4</v>
      </c>
      <c r="E25" s="1">
        <f t="shared" si="0"/>
        <v>20863.106941598879</v>
      </c>
      <c r="F25" s="1">
        <f t="shared" si="1"/>
        <v>20863</v>
      </c>
      <c r="G25" s="1">
        <f t="shared" si="2"/>
        <v>3.1900999769277405E-2</v>
      </c>
      <c r="I25" s="1">
        <f>G25</f>
        <v>3.1900999769277405E-2</v>
      </c>
      <c r="O25" s="1">
        <f t="shared" ca="1" si="3"/>
        <v>3.9433876787124809E-2</v>
      </c>
      <c r="Q25" s="37">
        <f t="shared" si="4"/>
        <v>42730.918389999773</v>
      </c>
    </row>
    <row r="26" spans="1:18" ht="12" customHeight="1" x14ac:dyDescent="0.2">
      <c r="A26" s="26" t="s">
        <v>49</v>
      </c>
      <c r="B26" s="27" t="s">
        <v>47</v>
      </c>
      <c r="C26" s="28">
        <v>57749.567590000108</v>
      </c>
      <c r="D26" s="28">
        <v>1.4E-3</v>
      </c>
      <c r="E26" s="1">
        <f t="shared" si="0"/>
        <v>20863.607104186365</v>
      </c>
      <c r="F26" s="1">
        <f t="shared" si="1"/>
        <v>20863.5</v>
      </c>
      <c r="G26" s="1">
        <f t="shared" si="2"/>
        <v>3.1949500102200545E-2</v>
      </c>
      <c r="I26" s="1">
        <f>G26</f>
        <v>3.1949500102200545E-2</v>
      </c>
      <c r="O26" s="1">
        <f t="shared" ca="1" si="3"/>
        <v>3.9435000416069725E-2</v>
      </c>
      <c r="Q26" s="37">
        <f t="shared" si="4"/>
        <v>42731.067590000108</v>
      </c>
    </row>
    <row r="27" spans="1:18" ht="12" customHeight="1" x14ac:dyDescent="0.2">
      <c r="A27" s="30" t="s">
        <v>52</v>
      </c>
      <c r="B27" s="31" t="s">
        <v>50</v>
      </c>
      <c r="C27" s="32">
        <v>58161.686161999998</v>
      </c>
      <c r="D27" s="32">
        <v>6.2000000000000003E-5</v>
      </c>
      <c r="E27" s="1">
        <f t="shared" si="0"/>
        <v>22245.15060860935</v>
      </c>
      <c r="F27" s="1">
        <f t="shared" si="1"/>
        <v>22245</v>
      </c>
      <c r="G27" s="1">
        <f t="shared" si="2"/>
        <v>4.4926999995368533E-2</v>
      </c>
      <c r="I27" s="1">
        <f>G27</f>
        <v>4.4926999995368533E-2</v>
      </c>
      <c r="O27" s="1">
        <f t="shared" ca="1" si="3"/>
        <v>4.2539587190865598E-2</v>
      </c>
      <c r="Q27" s="37">
        <f t="shared" si="4"/>
        <v>43143.186161999998</v>
      </c>
    </row>
    <row r="28" spans="1:18" ht="12" customHeight="1" x14ac:dyDescent="0.2">
      <c r="A28" s="5" t="s">
        <v>48</v>
      </c>
      <c r="C28" s="23">
        <v>58898.65425656244</v>
      </c>
      <c r="D28" s="23">
        <v>2.9999999999999997E-4</v>
      </c>
      <c r="E28" s="1">
        <f t="shared" si="0"/>
        <v>24715.685918554078</v>
      </c>
      <c r="F28" s="1">
        <f t="shared" si="1"/>
        <v>24715.5</v>
      </c>
      <c r="G28" s="1">
        <f t="shared" si="2"/>
        <v>5.5460062438214663E-2</v>
      </c>
      <c r="I28" s="1">
        <f>G28</f>
        <v>5.5460062438214663E-2</v>
      </c>
      <c r="O28" s="1">
        <f t="shared" ca="1" si="3"/>
        <v>4.8091437807682977E-2</v>
      </c>
      <c r="Q28" s="37">
        <f t="shared" si="4"/>
        <v>43880.15425656244</v>
      </c>
    </row>
    <row r="29" spans="1:18" ht="12" customHeight="1" x14ac:dyDescent="0.2">
      <c r="A29" s="34" t="s">
        <v>53</v>
      </c>
      <c r="B29" s="35" t="s">
        <v>50</v>
      </c>
      <c r="C29" s="36">
        <v>59633.380700000002</v>
      </c>
      <c r="D29" s="34">
        <v>1E-4</v>
      </c>
      <c r="E29" s="1">
        <f t="shared" ref="E29" si="5">+(C29-C$7)/C$8</f>
        <v>27178.706550051455</v>
      </c>
      <c r="F29" s="1">
        <f t="shared" si="1"/>
        <v>27178.5</v>
      </c>
      <c r="G29" s="1">
        <f t="shared" ref="G29" si="6">+C29-(C$7+F29*C$8)</f>
        <v>6.1614500002178829E-2</v>
      </c>
      <c r="I29" s="1">
        <f>G29</f>
        <v>6.1614500002178829E-2</v>
      </c>
      <c r="O29" s="1">
        <f t="shared" ref="O29" ca="1" si="7">+C$11+C$12*$F29</f>
        <v>5.3626433990326655E-2</v>
      </c>
      <c r="Q29" s="37">
        <f t="shared" ref="Q29" si="8">+C29-15018.5</f>
        <v>44614.880700000002</v>
      </c>
    </row>
    <row r="30" spans="1:18" ht="12" customHeight="1" x14ac:dyDescent="0.2"/>
    <row r="31" spans="1:18" ht="12" customHeight="1" x14ac:dyDescent="0.2"/>
    <row r="32" spans="1:18" ht="12" customHeight="1" x14ac:dyDescent="0.2"/>
  </sheetData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2022-03-30T02:08:54Z</dcterms:created>
  <dcterms:modified xsi:type="dcterms:W3CDTF">2023-01-19T05:46:26Z</dcterms:modified>
</cp:coreProperties>
</file>