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9EFA1CC-DAB9-497F-89E1-20107AB8A9F6}" xr6:coauthVersionLast="47" xr6:coauthVersionMax="47" xr10:uidLastSave="{00000000-0000-0000-0000-000000000000}"/>
  <bookViews>
    <workbookView xWindow="14085" yWindow="93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9" i="1" l="1"/>
  <c r="Q86" i="1"/>
  <c r="Q87" i="1"/>
  <c r="E88" i="1"/>
  <c r="F88" i="1" s="1"/>
  <c r="G88" i="1" s="1"/>
  <c r="K88" i="1" s="1"/>
  <c r="Q88" i="1"/>
  <c r="Q81" i="1"/>
  <c r="Q82" i="1"/>
  <c r="Q83" i="1"/>
  <c r="Q84" i="1"/>
  <c r="Q85" i="1"/>
  <c r="Q79" i="1"/>
  <c r="Q80" i="1"/>
  <c r="Q77" i="1"/>
  <c r="Q78" i="1"/>
  <c r="Q75" i="1"/>
  <c r="C7" i="1"/>
  <c r="E89" i="1" s="1"/>
  <c r="F89" i="1" s="1"/>
  <c r="G89" i="1" s="1"/>
  <c r="K89" i="1" s="1"/>
  <c r="C8" i="1"/>
  <c r="E84" i="1"/>
  <c r="F84" i="1" s="1"/>
  <c r="G84" i="1" s="1"/>
  <c r="K84" i="1" s="1"/>
  <c r="D9" i="1"/>
  <c r="C9" i="1"/>
  <c r="Q72" i="1"/>
  <c r="Q71" i="1"/>
  <c r="Q65" i="1"/>
  <c r="Q64" i="1"/>
  <c r="Q63" i="1"/>
  <c r="Q33" i="1"/>
  <c r="Q31" i="1"/>
  <c r="Q30" i="1"/>
  <c r="Q29" i="1"/>
  <c r="Q28" i="1"/>
  <c r="Q27" i="1"/>
  <c r="Q26" i="1"/>
  <c r="Q25" i="1"/>
  <c r="Q24" i="1"/>
  <c r="Q23" i="1"/>
  <c r="Q22" i="1"/>
  <c r="Q21" i="1"/>
  <c r="G46" i="2"/>
  <c r="C46" i="2"/>
  <c r="G65" i="2"/>
  <c r="C65" i="2"/>
  <c r="G45" i="2"/>
  <c r="C45" i="2"/>
  <c r="G44" i="2"/>
  <c r="C44" i="2"/>
  <c r="G64" i="2"/>
  <c r="C64" i="2"/>
  <c r="G63" i="2"/>
  <c r="C63" i="2"/>
  <c r="G43" i="2"/>
  <c r="C43" i="2"/>
  <c r="G42" i="2"/>
  <c r="C42" i="2"/>
  <c r="G62" i="2"/>
  <c r="C62" i="2"/>
  <c r="E62" i="2"/>
  <c r="G41" i="2"/>
  <c r="C41" i="2"/>
  <c r="G40" i="2"/>
  <c r="C40" i="2"/>
  <c r="G61" i="2"/>
  <c r="C61" i="2"/>
  <c r="G60" i="2"/>
  <c r="C60" i="2"/>
  <c r="G59" i="2"/>
  <c r="C59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58" i="2"/>
  <c r="C58" i="2"/>
  <c r="G11" i="2"/>
  <c r="C11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H46" i="2"/>
  <c r="D46" i="2"/>
  <c r="B46" i="2"/>
  <c r="A46" i="2"/>
  <c r="H65" i="2"/>
  <c r="B65" i="2"/>
  <c r="D65" i="2"/>
  <c r="A65" i="2"/>
  <c r="H45" i="2"/>
  <c r="B45" i="2"/>
  <c r="D45" i="2"/>
  <c r="A45" i="2"/>
  <c r="H44" i="2"/>
  <c r="B44" i="2"/>
  <c r="D44" i="2"/>
  <c r="A44" i="2"/>
  <c r="H64" i="2"/>
  <c r="D64" i="2"/>
  <c r="B64" i="2"/>
  <c r="A64" i="2"/>
  <c r="H63" i="2"/>
  <c r="B63" i="2"/>
  <c r="D63" i="2"/>
  <c r="A63" i="2"/>
  <c r="H43" i="2"/>
  <c r="B43" i="2"/>
  <c r="D43" i="2"/>
  <c r="A43" i="2"/>
  <c r="H42" i="2"/>
  <c r="B42" i="2"/>
  <c r="D42" i="2"/>
  <c r="A42" i="2"/>
  <c r="H62" i="2"/>
  <c r="B62" i="2"/>
  <c r="D62" i="2"/>
  <c r="A62" i="2"/>
  <c r="H41" i="2"/>
  <c r="B41" i="2"/>
  <c r="D41" i="2"/>
  <c r="A41" i="2"/>
  <c r="H40" i="2"/>
  <c r="D40" i="2"/>
  <c r="B40" i="2"/>
  <c r="A40" i="2"/>
  <c r="H61" i="2"/>
  <c r="B61" i="2"/>
  <c r="D61" i="2"/>
  <c r="A61" i="2"/>
  <c r="H60" i="2"/>
  <c r="D60" i="2"/>
  <c r="B60" i="2"/>
  <c r="A60" i="2"/>
  <c r="H59" i="2"/>
  <c r="B59" i="2"/>
  <c r="D59" i="2"/>
  <c r="A59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8" i="2"/>
  <c r="D58" i="2"/>
  <c r="B58" i="2"/>
  <c r="A58" i="2"/>
  <c r="H11" i="2"/>
  <c r="B11" i="2"/>
  <c r="D11" i="2"/>
  <c r="A11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B47" i="2"/>
  <c r="D47" i="2"/>
  <c r="A47" i="2"/>
  <c r="Q76" i="1"/>
  <c r="Q73" i="1"/>
  <c r="Q70" i="1"/>
  <c r="Q68" i="1"/>
  <c r="Q69" i="1"/>
  <c r="F16" i="1"/>
  <c r="F17" i="1" s="1"/>
  <c r="Q74" i="1"/>
  <c r="Q61" i="1"/>
  <c r="Q62" i="1"/>
  <c r="C17" i="1"/>
  <c r="Q66" i="1"/>
  <c r="Q67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32" i="1"/>
  <c r="E70" i="1"/>
  <c r="F70" i="1" s="1"/>
  <c r="G70" i="1" s="1"/>
  <c r="K70" i="1" s="1"/>
  <c r="E76" i="1"/>
  <c r="E46" i="2" s="1"/>
  <c r="E66" i="1"/>
  <c r="F66" i="1" s="1"/>
  <c r="G66" i="1" s="1"/>
  <c r="K66" i="1" s="1"/>
  <c r="E61" i="1"/>
  <c r="E38" i="2" s="1"/>
  <c r="E79" i="1"/>
  <c r="F79" i="1" s="1"/>
  <c r="G79" i="1" s="1"/>
  <c r="K79" i="1" s="1"/>
  <c r="E69" i="1"/>
  <c r="F69" i="1" s="1"/>
  <c r="G69" i="1" s="1"/>
  <c r="K69" i="1" s="1"/>
  <c r="E30" i="1"/>
  <c r="E56" i="2" s="1"/>
  <c r="E39" i="1"/>
  <c r="E17" i="2" s="1"/>
  <c r="F39" i="1"/>
  <c r="G39" i="1" s="1"/>
  <c r="I39" i="1" s="1"/>
  <c r="E38" i="1"/>
  <c r="F38" i="1" s="1"/>
  <c r="G38" i="1" s="1"/>
  <c r="I38" i="1" s="1"/>
  <c r="E65" i="1"/>
  <c r="E61" i="2" s="1"/>
  <c r="E21" i="1"/>
  <c r="E47" i="2" s="1"/>
  <c r="E64" i="1"/>
  <c r="E60" i="2" s="1"/>
  <c r="E44" i="1"/>
  <c r="E22" i="2" s="1"/>
  <c r="E77" i="1"/>
  <c r="F77" i="1"/>
  <c r="G77" i="1" s="1"/>
  <c r="K77" i="1" s="1"/>
  <c r="E51" i="1"/>
  <c r="E28" i="2" s="1"/>
  <c r="F51" i="1"/>
  <c r="G51" i="1" s="1"/>
  <c r="I51" i="1" s="1"/>
  <c r="E47" i="1"/>
  <c r="F47" i="1" s="1"/>
  <c r="G47" i="1" s="1"/>
  <c r="I47" i="1" s="1"/>
  <c r="E73" i="1"/>
  <c r="F73" i="1"/>
  <c r="G73" i="1" s="1"/>
  <c r="K73" i="1" s="1"/>
  <c r="E41" i="1"/>
  <c r="F41" i="1"/>
  <c r="G41" i="1" s="1"/>
  <c r="I41" i="1" s="1"/>
  <c r="E24" i="1"/>
  <c r="E50" i="2" s="1"/>
  <c r="F24" i="1"/>
  <c r="G24" i="1" s="1"/>
  <c r="H24" i="1" s="1"/>
  <c r="E53" i="1"/>
  <c r="F53" i="1" s="1"/>
  <c r="G53" i="1" s="1"/>
  <c r="I53" i="1" s="1"/>
  <c r="E43" i="1"/>
  <c r="E21" i="2" s="1"/>
  <c r="F43" i="1"/>
  <c r="G43" i="1" s="1"/>
  <c r="I43" i="1" s="1"/>
  <c r="E27" i="1"/>
  <c r="E53" i="2" s="1"/>
  <c r="F27" i="1"/>
  <c r="G27" i="1" s="1"/>
  <c r="H27" i="1" s="1"/>
  <c r="E71" i="1"/>
  <c r="E63" i="2" s="1"/>
  <c r="F71" i="1"/>
  <c r="G71" i="1" s="1"/>
  <c r="K71" i="1" s="1"/>
  <c r="E40" i="1"/>
  <c r="F40" i="1" s="1"/>
  <c r="G40" i="1" s="1"/>
  <c r="I40" i="1" s="1"/>
  <c r="E23" i="1"/>
  <c r="E49" i="2" s="1"/>
  <c r="F23" i="1"/>
  <c r="G23" i="1" s="1"/>
  <c r="H23" i="1" s="1"/>
  <c r="E50" i="1"/>
  <c r="F50" i="1"/>
  <c r="G50" i="1" s="1"/>
  <c r="I50" i="1" s="1"/>
  <c r="E63" i="1"/>
  <c r="F63" i="1"/>
  <c r="G63" i="1" s="1"/>
  <c r="I63" i="1" s="1"/>
  <c r="E45" i="1"/>
  <c r="E78" i="1"/>
  <c r="F78" i="1" s="1"/>
  <c r="G78" i="1" s="1"/>
  <c r="K78" i="1" s="1"/>
  <c r="E75" i="1"/>
  <c r="F75" i="1" s="1"/>
  <c r="G75" i="1" s="1"/>
  <c r="K75" i="1" s="1"/>
  <c r="E25" i="1"/>
  <c r="E51" i="2" s="1"/>
  <c r="E27" i="2"/>
  <c r="F45" i="1"/>
  <c r="G45" i="1" s="1"/>
  <c r="I45" i="1" s="1"/>
  <c r="E59" i="2"/>
  <c r="E18" i="2"/>
  <c r="E44" i="2"/>
  <c r="E25" i="2"/>
  <c r="E65" i="2"/>
  <c r="E19" i="2"/>
  <c r="E42" i="2"/>
  <c r="E23" i="2"/>
  <c r="E74" i="1"/>
  <c r="F74" i="1" s="1"/>
  <c r="G74" i="1" s="1"/>
  <c r="K74" i="1" s="1"/>
  <c r="E22" i="1"/>
  <c r="F22" i="1" s="1"/>
  <c r="G22" i="1" s="1"/>
  <c r="H22" i="1" s="1"/>
  <c r="E68" i="1"/>
  <c r="F68" i="1" s="1"/>
  <c r="G68" i="1" s="1"/>
  <c r="K68" i="1" s="1"/>
  <c r="E35" i="1"/>
  <c r="F35" i="1"/>
  <c r="G35" i="1" s="1"/>
  <c r="I35" i="1" s="1"/>
  <c r="E58" i="1"/>
  <c r="E37" i="1"/>
  <c r="E15" i="2" s="1"/>
  <c r="E60" i="1"/>
  <c r="F60" i="1" s="1"/>
  <c r="G60" i="1" s="1"/>
  <c r="I60" i="1" s="1"/>
  <c r="E54" i="1"/>
  <c r="E31" i="2" s="1"/>
  <c r="E31" i="1"/>
  <c r="F31" i="1" s="1"/>
  <c r="G31" i="1" s="1"/>
  <c r="H31" i="1" s="1"/>
  <c r="E26" i="1"/>
  <c r="F26" i="1" s="1"/>
  <c r="U26" i="1" s="1"/>
  <c r="E46" i="1"/>
  <c r="E24" i="2" s="1"/>
  <c r="E36" i="1"/>
  <c r="F36" i="1" s="1"/>
  <c r="G36" i="1" s="1"/>
  <c r="I36" i="1" s="1"/>
  <c r="E72" i="1"/>
  <c r="F72" i="1" s="1"/>
  <c r="G72" i="1" s="1"/>
  <c r="K72" i="1" s="1"/>
  <c r="E55" i="1"/>
  <c r="E34" i="1"/>
  <c r="F34" i="1" s="1"/>
  <c r="G34" i="1" s="1"/>
  <c r="I34" i="1" s="1"/>
  <c r="E85" i="1"/>
  <c r="F85" i="1" s="1"/>
  <c r="G85" i="1" s="1"/>
  <c r="K85" i="1" s="1"/>
  <c r="E56" i="1"/>
  <c r="F56" i="1" s="1"/>
  <c r="G56" i="1" s="1"/>
  <c r="I56" i="1" s="1"/>
  <c r="E80" i="1"/>
  <c r="F80" i="1" s="1"/>
  <c r="G80" i="1" s="1"/>
  <c r="K80" i="1" s="1"/>
  <c r="E28" i="1"/>
  <c r="E54" i="2" s="1"/>
  <c r="E49" i="1"/>
  <c r="F49" i="1" s="1"/>
  <c r="G49" i="1" s="1"/>
  <c r="I49" i="1" s="1"/>
  <c r="E59" i="1"/>
  <c r="F59" i="1" s="1"/>
  <c r="G59" i="1" s="1"/>
  <c r="I59" i="1" s="1"/>
  <c r="E33" i="1"/>
  <c r="E58" i="2" s="1"/>
  <c r="E62" i="1"/>
  <c r="F62" i="1" s="1"/>
  <c r="G62" i="1" s="1"/>
  <c r="K62" i="1" s="1"/>
  <c r="E32" i="1"/>
  <c r="F32" i="1" s="1"/>
  <c r="G32" i="1" s="1"/>
  <c r="H32" i="1" s="1"/>
  <c r="E52" i="1"/>
  <c r="F52" i="1" s="1"/>
  <c r="G52" i="1" s="1"/>
  <c r="I52" i="1" s="1"/>
  <c r="E48" i="1"/>
  <c r="E26" i="2" s="1"/>
  <c r="F48" i="1"/>
  <c r="G48" i="1" s="1"/>
  <c r="I48" i="1" s="1"/>
  <c r="E67" i="1"/>
  <c r="E29" i="1"/>
  <c r="F29" i="1" s="1"/>
  <c r="G29" i="1" s="1"/>
  <c r="H29" i="1" s="1"/>
  <c r="E42" i="1"/>
  <c r="F42" i="1" s="1"/>
  <c r="G42" i="1" s="1"/>
  <c r="I42" i="1" s="1"/>
  <c r="E82" i="1"/>
  <c r="F82" i="1" s="1"/>
  <c r="G82" i="1" s="1"/>
  <c r="K82" i="1" s="1"/>
  <c r="E30" i="2"/>
  <c r="E81" i="1"/>
  <c r="F81" i="1" s="1"/>
  <c r="G81" i="1" s="1"/>
  <c r="K81" i="1" s="1"/>
  <c r="E83" i="1"/>
  <c r="F83" i="1" s="1"/>
  <c r="G83" i="1" s="1"/>
  <c r="K83" i="1" s="1"/>
  <c r="E57" i="1"/>
  <c r="F57" i="1" s="1"/>
  <c r="G57" i="1" s="1"/>
  <c r="I57" i="1" s="1"/>
  <c r="F67" i="1"/>
  <c r="G67" i="1" s="1"/>
  <c r="K67" i="1" s="1"/>
  <c r="E41" i="2"/>
  <c r="F46" i="1"/>
  <c r="G46" i="1" s="1"/>
  <c r="I46" i="1" s="1"/>
  <c r="E34" i="2"/>
  <c r="E45" i="2"/>
  <c r="F54" i="1"/>
  <c r="G54" i="1" s="1"/>
  <c r="I54" i="1" s="1"/>
  <c r="E14" i="2"/>
  <c r="F55" i="1"/>
  <c r="G55" i="1" s="1"/>
  <c r="I55" i="1" s="1"/>
  <c r="E32" i="2"/>
  <c r="E52" i="2"/>
  <c r="E13" i="2"/>
  <c r="E64" i="2"/>
  <c r="E35" i="2"/>
  <c r="F58" i="1"/>
  <c r="G58" i="1" s="1"/>
  <c r="I58" i="1" s="1"/>
  <c r="E20" i="2"/>
  <c r="E43" i="2" l="1"/>
  <c r="E11" i="2"/>
  <c r="E37" i="2"/>
  <c r="F25" i="1"/>
  <c r="G25" i="1" s="1"/>
  <c r="H25" i="1" s="1"/>
  <c r="E87" i="1"/>
  <c r="F87" i="1" s="1"/>
  <c r="G87" i="1" s="1"/>
  <c r="K87" i="1" s="1"/>
  <c r="E39" i="2"/>
  <c r="E48" i="2"/>
  <c r="E16" i="2"/>
  <c r="E55" i="2"/>
  <c r="E12" i="2"/>
  <c r="E86" i="1"/>
  <c r="F86" i="1" s="1"/>
  <c r="G86" i="1" s="1"/>
  <c r="K86" i="1" s="1"/>
  <c r="F33" i="1"/>
  <c r="G33" i="1" s="1"/>
  <c r="I33" i="1" s="1"/>
  <c r="F37" i="1"/>
  <c r="G37" i="1" s="1"/>
  <c r="I37" i="1" s="1"/>
  <c r="E33" i="2"/>
  <c r="F44" i="1"/>
  <c r="G44" i="1" s="1"/>
  <c r="I44" i="1" s="1"/>
  <c r="F21" i="1"/>
  <c r="G21" i="1" s="1"/>
  <c r="E57" i="2"/>
  <c r="F65" i="1"/>
  <c r="G65" i="1" s="1"/>
  <c r="K65" i="1" s="1"/>
  <c r="F61" i="1"/>
  <c r="F76" i="1"/>
  <c r="G76" i="1" s="1"/>
  <c r="K76" i="1" s="1"/>
  <c r="E36" i="2"/>
  <c r="F28" i="1"/>
  <c r="G28" i="1" s="1"/>
  <c r="H28" i="1" s="1"/>
  <c r="F30" i="1"/>
  <c r="G30" i="1" s="1"/>
  <c r="H30" i="1" s="1"/>
  <c r="F64" i="1"/>
  <c r="G64" i="1" s="1"/>
  <c r="K64" i="1" s="1"/>
  <c r="E29" i="2"/>
  <c r="E40" i="2"/>
  <c r="C11" i="1"/>
  <c r="C12" i="1"/>
  <c r="C16" i="1" l="1"/>
  <c r="D18" i="1" s="1"/>
  <c r="O32" i="1"/>
  <c r="O45" i="1"/>
  <c r="O74" i="1"/>
  <c r="O28" i="1"/>
  <c r="O83" i="1"/>
  <c r="O79" i="1"/>
  <c r="O24" i="1"/>
  <c r="O59" i="1"/>
  <c r="O21" i="1"/>
  <c r="O85" i="1"/>
  <c r="O86" i="1"/>
  <c r="O39" i="1"/>
  <c r="O61" i="1"/>
  <c r="O54" i="1"/>
  <c r="O71" i="1"/>
  <c r="O51" i="1"/>
  <c r="O38" i="1"/>
  <c r="O26" i="1"/>
  <c r="O89" i="1"/>
  <c r="O50" i="1"/>
  <c r="O76" i="1"/>
  <c r="O77" i="1"/>
  <c r="O46" i="1"/>
  <c r="O53" i="1"/>
  <c r="O22" i="1"/>
  <c r="O41" i="1"/>
  <c r="O25" i="1"/>
  <c r="O37" i="1"/>
  <c r="O60" i="1"/>
  <c r="O49" i="1"/>
  <c r="O80" i="1"/>
  <c r="O47" i="1"/>
  <c r="O88" i="1"/>
  <c r="O75" i="1"/>
  <c r="O70" i="1"/>
  <c r="O30" i="1"/>
  <c r="O81" i="1"/>
  <c r="O69" i="1"/>
  <c r="O67" i="1"/>
  <c r="O56" i="1"/>
  <c r="C15" i="1"/>
  <c r="C18" i="1" s="1"/>
  <c r="O66" i="1"/>
  <c r="O84" i="1"/>
  <c r="O57" i="1"/>
  <c r="O29" i="1"/>
  <c r="O65" i="1"/>
  <c r="O42" i="1"/>
  <c r="O55" i="1"/>
  <c r="O33" i="1"/>
  <c r="O52" i="1"/>
  <c r="O58" i="1"/>
  <c r="O40" i="1"/>
  <c r="O43" i="1"/>
  <c r="O35" i="1"/>
  <c r="O23" i="1"/>
  <c r="O64" i="1"/>
  <c r="O27" i="1"/>
  <c r="O72" i="1"/>
  <c r="O34" i="1"/>
  <c r="O78" i="1"/>
  <c r="O87" i="1"/>
  <c r="O68" i="1"/>
  <c r="O44" i="1"/>
  <c r="O36" i="1"/>
  <c r="O62" i="1"/>
  <c r="O73" i="1"/>
  <c r="O82" i="1"/>
  <c r="O63" i="1"/>
  <c r="O48" i="1"/>
  <c r="O31" i="1"/>
  <c r="H21" i="1"/>
  <c r="F18" i="1" l="1"/>
  <c r="F19" i="1" s="1"/>
</calcChain>
</file>

<file path=xl/sharedStrings.xml><?xml version="1.0" encoding="utf-8"?>
<sst xmlns="http://schemas.openxmlformats.org/spreadsheetml/2006/main" count="643" uniqueCount="299">
  <si>
    <t>OEJV 0191</t>
  </si>
  <si>
    <t>II</t>
  </si>
  <si>
    <t>JAVSO..43..238</t>
  </si>
  <si>
    <t>JAVSO..44..164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</si>
  <si>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</si>
  <si>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</si>
  <si>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</si>
  <si>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</si>
  <si>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</si>
  <si>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</si>
  <si>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</si>
  <si>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</si>
  <si>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</si>
  <si>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</si>
  <si>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</si>
  <si>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</si>
  <si>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</si>
  <si>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</si>
  <si>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</si>
  <si>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</si>
  <si>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</si>
  <si>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</si>
  <si>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</si>
  <si>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</si>
  <si>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</si>
  <si>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</si>
  <si>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</si>
  <si>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</si>
  <si>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</si>
  <si>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</si>
  <si>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</si>
  <si>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</si>
  <si>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</si>
  <si>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JAAVSO 7,28</t>
  </si>
  <si>
    <t>K</t>
  </si>
  <si>
    <t>:</t>
  </si>
  <si>
    <t>E. Halbach</t>
  </si>
  <si>
    <t>AAVSO 4</t>
  </si>
  <si>
    <t>A</t>
  </si>
  <si>
    <t>G. Samolyk</t>
  </si>
  <si>
    <t>D. Ruokonen</t>
  </si>
  <si>
    <t>M. Baldwin</t>
  </si>
  <si>
    <t>BRNO 27</t>
  </si>
  <si>
    <t>Paschke A</t>
  </si>
  <si>
    <t>BBSAG Bull.78</t>
  </si>
  <si>
    <t>B</t>
  </si>
  <si>
    <t>BBSAG 78</t>
  </si>
  <si>
    <t>P. Atwood</t>
  </si>
  <si>
    <t>BRNO 30</t>
  </si>
  <si>
    <t>N</t>
  </si>
  <si>
    <t>BBSAG Bull.102</t>
  </si>
  <si>
    <t>EA/SD:</t>
  </si>
  <si>
    <t>IBVS 5577</t>
  </si>
  <si>
    <t>I</t>
  </si>
  <si>
    <t># of data points:</t>
  </si>
  <si>
    <t>SX Oph / GSC 05046-00419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</si>
  <si>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</si>
  <si>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</si>
  <si>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</si>
  <si>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</si>
  <si>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</si>
  <si>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</si>
  <si>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</si>
  <si>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OEJV 0060</t>
  </si>
  <si>
    <t>vis</t>
  </si>
  <si>
    <t>OEJV 0074</t>
  </si>
  <si>
    <t>Add cycle</t>
  </si>
  <si>
    <t>Old Cycle</t>
  </si>
  <si>
    <t>IBVS 5636</t>
  </si>
  <si>
    <t>IBVS 5670</t>
  </si>
  <si>
    <t>JAVSO..36..186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</si>
  <si>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</si>
  <si>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</si>
  <si>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</si>
  <si>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</si>
  <si>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</si>
  <si>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</si>
  <si>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</si>
  <si>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</si>
  <si>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</si>
  <si>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</si>
  <si>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</si>
  <si>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</si>
  <si>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</si>
  <si>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2419542.412 </t>
  </si>
  <si>
    <t> 19.05.1912 21:53 </t>
  </si>
  <si>
    <t> 0.003 </t>
  </si>
  <si>
    <t>V </t>
  </si>
  <si>
    <t> R.Lehnert </t>
  </si>
  <si>
    <t> AN 194.166 </t>
  </si>
  <si>
    <t>2427979.263 </t>
  </si>
  <si>
    <t> 25.06.1935 18:18 </t>
  </si>
  <si>
    <t> 0.005 </t>
  </si>
  <si>
    <t> L.Robinson </t>
  </si>
  <si>
    <t> PZ 17.519 </t>
  </si>
  <si>
    <t>2428344.456 </t>
  </si>
  <si>
    <t> 24.06.1936 22:56 </t>
  </si>
  <si>
    <t> -0.007 </t>
  </si>
  <si>
    <t> K.Kordylewski </t>
  </si>
  <si>
    <t> AA 27.155 </t>
  </si>
  <si>
    <t>2428346.533 </t>
  </si>
  <si>
    <t> 27.06.1936 00:47 </t>
  </si>
  <si>
    <t> 0.007 </t>
  </si>
  <si>
    <t>2428350.652 </t>
  </si>
  <si>
    <t> 01.07.1936 03:38 </t>
  </si>
  <si>
    <t> -0.001 </t>
  </si>
  <si>
    <t>2429173.993 </t>
  </si>
  <si>
    <t> 02.10.1938 11:49 </t>
  </si>
  <si>
    <t> 0.082 </t>
  </si>
  <si>
    <t>2429805.279 </t>
  </si>
  <si>
    <t> 24.06.1940 18:41 </t>
  </si>
  <si>
    <t>2430106.511 </t>
  </si>
  <si>
    <t> 22.04.1941 00:15 </t>
  </si>
  <si>
    <t> -0.013 </t>
  </si>
  <si>
    <t>2431251.669 </t>
  </si>
  <si>
    <t> 10.06.1944 04:03 </t>
  </si>
  <si>
    <t> 0.011 </t>
  </si>
  <si>
    <t> W.Zessewitsch </t>
  </si>
  <si>
    <t> IODE 4.2.216 </t>
  </si>
  <si>
    <t>2432677.377 </t>
  </si>
  <si>
    <t> 05.05.1948 21:02 </t>
  </si>
  <si>
    <t> -0.024 </t>
  </si>
  <si>
    <t> A.Szczepanowska </t>
  </si>
  <si>
    <t> AAC 4.117 </t>
  </si>
  <si>
    <t>2433067.346 </t>
  </si>
  <si>
    <t> 30.05.1949 20:18 </t>
  </si>
  <si>
    <t> -0.019 </t>
  </si>
  <si>
    <t> AAC 5.74 </t>
  </si>
  <si>
    <t>2433399.557 </t>
  </si>
  <si>
    <t> 28.04.1950 01:22 </t>
  </si>
  <si>
    <t> 0.000 </t>
  </si>
  <si>
    <t>2441089.490 </t>
  </si>
  <si>
    <t> 17.05.1971 23:45 </t>
  </si>
  <si>
    <t> -0.000 </t>
  </si>
  <si>
    <t> J.Silhan </t>
  </si>
  <si>
    <t> BRNO 14 </t>
  </si>
  <si>
    <t>2442628.709 </t>
  </si>
  <si>
    <t> 04.08.1975 05:00 </t>
  </si>
  <si>
    <t> -0.006 </t>
  </si>
  <si>
    <t> W.Farrar </t>
  </si>
  <si>
    <t> AVSJ 7.37 </t>
  </si>
  <si>
    <t>2442659.693 </t>
  </si>
  <si>
    <t> 04.09.1975 04:37 </t>
  </si>
  <si>
    <t> 0.029 </t>
  </si>
  <si>
    <t> G.Wedemayer </t>
  </si>
  <si>
    <t>2442921.702 </t>
  </si>
  <si>
    <t> 23.05.1976 04:50 </t>
  </si>
  <si>
    <t> -0.002 </t>
  </si>
  <si>
    <t> E.Halbach </t>
  </si>
  <si>
    <t> AOEB 4 </t>
  </si>
  <si>
    <t>2442923.768 </t>
  </si>
  <si>
    <t> 25.05.1976 06:25 </t>
  </si>
  <si>
    <t> 0.001 </t>
  </si>
  <si>
    <t> G.Samolyk </t>
  </si>
  <si>
    <t>2442925.816 </t>
  </si>
  <si>
    <t> 27.05.1976 07:35 </t>
  </si>
  <si>
    <t> -0.015 </t>
  </si>
  <si>
    <t>2442985.652 </t>
  </si>
  <si>
    <t> 26.07.1976 03:38 </t>
  </si>
  <si>
    <t> -0.014 </t>
  </si>
  <si>
    <t> D.Ruokonen </t>
  </si>
  <si>
    <t>2442985.662 </t>
  </si>
  <si>
    <t> 26.07.1976 03:53 </t>
  </si>
  <si>
    <t> -0.004 </t>
  </si>
  <si>
    <t>2443315.779 </t>
  </si>
  <si>
    <t> 21.06.1977 06:41 </t>
  </si>
  <si>
    <t> -0.016 </t>
  </si>
  <si>
    <t>2443672.719 </t>
  </si>
  <si>
    <t> 13.06.1978 05:15 </t>
  </si>
  <si>
    <t> -0.028 </t>
  </si>
  <si>
    <t>2443672.736 </t>
  </si>
  <si>
    <t> 13.06.1978 05:39 </t>
  </si>
  <si>
    <t> -0.011 </t>
  </si>
  <si>
    <t> M.Baldwin </t>
  </si>
  <si>
    <t>2444780.759 </t>
  </si>
  <si>
    <t> 25.06.1981 06:12 </t>
  </si>
  <si>
    <t> 0.018 </t>
  </si>
  <si>
    <t>2445463.686 </t>
  </si>
  <si>
    <t> 09.05.1983 04:27 </t>
  </si>
  <si>
    <t> -0.008 </t>
  </si>
  <si>
    <t>2445888.721 </t>
  </si>
  <si>
    <t> 07.07.1984 05:18 </t>
  </si>
  <si>
    <t>2446175.516 </t>
  </si>
  <si>
    <t> 20.04.1985 00:23 </t>
  </si>
  <si>
    <t> -0.018 </t>
  </si>
  <si>
    <t> BRNO 27 </t>
  </si>
  <si>
    <t>2446175.537 </t>
  </si>
  <si>
    <t> 20.04.1985 00:53 </t>
  </si>
  <si>
    <t> P.Troubil </t>
  </si>
  <si>
    <t>2446202.375 </t>
  </si>
  <si>
    <t> 16.05.1985 21:00 </t>
  </si>
  <si>
    <t> A.Paschke </t>
  </si>
  <si>
    <t> BBS 78 </t>
  </si>
  <si>
    <t>2446268.389 </t>
  </si>
  <si>
    <t> 21.07.1985 21:20 </t>
  </si>
  <si>
    <t> 0.006 </t>
  </si>
  <si>
    <t> P.Svoboda </t>
  </si>
  <si>
    <t>2446270.453 </t>
  </si>
  <si>
    <t> 23.07.1985 22:52 </t>
  </si>
  <si>
    <t>2446606.758 </t>
  </si>
  <si>
    <t> 25.06.1986 06:11 </t>
  </si>
  <si>
    <t> P.Atwood </t>
  </si>
  <si>
    <t>2446606.774 </t>
  </si>
  <si>
    <t> 25.06.1986 06:34 </t>
  </si>
  <si>
    <t> 0.009 </t>
  </si>
  <si>
    <t>2446924.510 </t>
  </si>
  <si>
    <t> 09.05.1987 00:14 </t>
  </si>
  <si>
    <t> BRNO 30 </t>
  </si>
  <si>
    <t>2447295.933 </t>
  </si>
  <si>
    <t> 14.05.1988 10:23 </t>
  </si>
  <si>
    <t> 0.025 </t>
  </si>
  <si>
    <t>2447681.763 </t>
  </si>
  <si>
    <t> 04.06.1989 06:18 </t>
  </si>
  <si>
    <t> 0.017 </t>
  </si>
  <si>
    <t>2447714.744 </t>
  </si>
  <si>
    <t> 07.07.1989 05:51 </t>
  </si>
  <si>
    <t>2448133.601 </t>
  </si>
  <si>
    <t> 30.08.1990 02:25 </t>
  </si>
  <si>
    <t>2448839.25 </t>
  </si>
  <si>
    <t> 04.08.1992 18:00 </t>
  </si>
  <si>
    <t> -0.01 </t>
  </si>
  <si>
    <t>E </t>
  </si>
  <si>
    <t>?</t>
  </si>
  <si>
    <t> BBS 102 </t>
  </si>
  <si>
    <t>2449889.484 </t>
  </si>
  <si>
    <t> 20.06.1995 23:36 </t>
  </si>
  <si>
    <t> P.Molik </t>
  </si>
  <si>
    <t>OEJV 0060 </t>
  </si>
  <si>
    <t>2451649.47503 </t>
  </si>
  <si>
    <t> 14.04.2000 23:24 </t>
  </si>
  <si>
    <t> -0.00408 </t>
  </si>
  <si>
    <t>C </t>
  </si>
  <si>
    <t>o</t>
  </si>
  <si>
    <t> J.Šafár </t>
  </si>
  <si>
    <t>OEJV 0074 </t>
  </si>
  <si>
    <t>2451715.513 </t>
  </si>
  <si>
    <t> 20.06.2000 00:18 </t>
  </si>
  <si>
    <t> 0.008 </t>
  </si>
  <si>
    <t> BBS 123 </t>
  </si>
  <si>
    <t>2451787.713 </t>
  </si>
  <si>
    <t> 31.08.2000 05:06 </t>
  </si>
  <si>
    <t> R.Hill </t>
  </si>
  <si>
    <t> AOEB 12 </t>
  </si>
  <si>
    <t>2452501.6203 </t>
  </si>
  <si>
    <t> 15.08.2002 02:53 </t>
  </si>
  <si>
    <t> -0.0033 </t>
  </si>
  <si>
    <t>ns</t>
  </si>
  <si>
    <t>2453095.845 </t>
  </si>
  <si>
    <t> 31.03.2004 08:16 </t>
  </si>
  <si>
    <t> -0.010 </t>
  </si>
  <si>
    <t> C.Lacy </t>
  </si>
  <si>
    <t>IBVS 5577 </t>
  </si>
  <si>
    <t>2453097.9143 </t>
  </si>
  <si>
    <t> 02.04.2004 09:56 </t>
  </si>
  <si>
    <t> -0.0041 </t>
  </si>
  <si>
    <t>2453456.9293 </t>
  </si>
  <si>
    <t> 27.03.2005 10:18 </t>
  </si>
  <si>
    <t> -0.0039 </t>
  </si>
  <si>
    <t> C. Lacy </t>
  </si>
  <si>
    <t>IBVS 5670 </t>
  </si>
  <si>
    <t>2453545.6552 </t>
  </si>
  <si>
    <t> 24.06.2005 03:43 </t>
  </si>
  <si>
    <t> -0.0001 </t>
  </si>
  <si>
    <t>2453547.7158 </t>
  </si>
  <si>
    <t> 26.06.2005 05:10 </t>
  </si>
  <si>
    <t> -0.0028 </t>
  </si>
  <si>
    <t>R</t>
  </si>
  <si>
    <t> J.M.Cook et al. </t>
  </si>
  <si>
    <t>IBVS 5636 </t>
  </si>
  <si>
    <t>2454232.7345 </t>
  </si>
  <si>
    <t> 12.05.2007 05:37 </t>
  </si>
  <si>
    <t> -0.0010 </t>
  </si>
  <si>
    <t>2454265.7451 </t>
  </si>
  <si>
    <t> 14.06.2007 05:52 </t>
  </si>
  <si>
    <t> -0.0032 </t>
  </si>
  <si>
    <t> J.Bialozynski </t>
  </si>
  <si>
    <t>2454653.6476 </t>
  </si>
  <si>
    <t> 06.07.2008 03:32 </t>
  </si>
  <si>
    <t> -0.0018 </t>
  </si>
  <si>
    <t>JAAVSO 36(2);186 </t>
  </si>
  <si>
    <t>2454983.7785 </t>
  </si>
  <si>
    <t> 01.06.2009 06:41 </t>
  </si>
  <si>
    <t> 0.0004 </t>
  </si>
  <si>
    <t> R.Diethelm </t>
  </si>
  <si>
    <t>IBVS 5894 </t>
  </si>
  <si>
    <t>2455672.9167 </t>
  </si>
  <si>
    <t> 21.04.2011 10:00 </t>
  </si>
  <si>
    <t> -0.0048 </t>
  </si>
  <si>
    <t>IBVS 5992 </t>
  </si>
  <si>
    <t>2456481.7345 </t>
  </si>
  <si>
    <t> 08.07.2013 05:37 </t>
  </si>
  <si>
    <t> -0.0021 </t>
  </si>
  <si>
    <t> JAAVSO 41;328 </t>
  </si>
  <si>
    <t>BAD?</t>
  </si>
  <si>
    <t>JAVSO..46..184</t>
  </si>
  <si>
    <t>JAVSO..47..263</t>
  </si>
  <si>
    <t>JAVSO..48..256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</si>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</sst>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5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Oph - O-C Diagr.</a:t>
            </a:r>
          </a:p>
        </c:rich>
      </c:tx>
      <c:layout>
        <c:manualLayout>
          <c:xMode val="edge"/>
          <c:yMode val="edge"/>
          <c:x val="0.384036460803845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021793978989"/>
          <c:y val="0.14769252958613219"/>
          <c:w val="0.8177716856966580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3.3207999986188952E-3</c:v>
                </c:pt>
                <c:pt idx="1">
                  <c:v>5.082599996967474E-3</c:v>
                </c:pt>
                <c:pt idx="2">
                  <c:v>-6.6900000019813888E-3</c:v>
                </c:pt>
                <c:pt idx="3">
                  <c:v>7.0061999977042433E-3</c:v>
                </c:pt>
                <c:pt idx="4">
                  <c:v>-6.0140000277897343E-4</c:v>
                </c:pt>
                <c:pt idx="6">
                  <c:v>-2.7804000019386876E-3</c:v>
                </c:pt>
                <c:pt idx="7">
                  <c:v>-1.313520000257995E-2</c:v>
                </c:pt>
                <c:pt idx="8">
                  <c:v>1.1255800000071758E-2</c:v>
                </c:pt>
                <c:pt idx="9">
                  <c:v>-2.3669999998674029E-2</c:v>
                </c:pt>
                <c:pt idx="10">
                  <c:v>-1.9088200002443045E-2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C-40BF-9AB2-DB20D0AE6D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2">
                  <c:v>-2.6259999867761508E-4</c:v>
                </c:pt>
                <c:pt idx="13">
                  <c:v>-5.8973999985028058E-3</c:v>
                </c:pt>
                <c:pt idx="14">
                  <c:v>2.8545599998324178E-2</c:v>
                </c:pt>
                <c:pt idx="15">
                  <c:v>-2.037000005657319E-3</c:v>
                </c:pt>
                <c:pt idx="16">
                  <c:v>6.5919999906327575E-4</c:v>
                </c:pt>
                <c:pt idx="17">
                  <c:v>-1.4644599999883212E-2</c:v>
                </c:pt>
                <c:pt idx="18">
                  <c:v>-1.4454799995291978E-2</c:v>
                </c:pt>
                <c:pt idx="19">
                  <c:v>-4.4548000005306676E-3</c:v>
                </c:pt>
                <c:pt idx="20">
                  <c:v>-1.6062799993960653E-2</c:v>
                </c:pt>
                <c:pt idx="21">
                  <c:v>-2.7620200002274942E-2</c:v>
                </c:pt>
                <c:pt idx="22">
                  <c:v>-1.0620200002449565E-2</c:v>
                </c:pt>
                <c:pt idx="23">
                  <c:v>1.8239199998788536E-2</c:v>
                </c:pt>
                <c:pt idx="24">
                  <c:v>-8.3185999974375591E-3</c:v>
                </c:pt>
                <c:pt idx="25">
                  <c:v>-1.3901400001486763E-2</c:v>
                </c:pt>
                <c:pt idx="26">
                  <c:v>-1.812959999369923E-2</c:v>
                </c:pt>
                <c:pt idx="27">
                  <c:v>2.8703999996650964E-3</c:v>
                </c:pt>
                <c:pt idx="28">
                  <c:v>1.2921000001369976E-2</c:v>
                </c:pt>
                <c:pt idx="29">
                  <c:v>1.7920999998750631E-2</c:v>
                </c:pt>
                <c:pt idx="30">
                  <c:v>6.1994000061531551E-3</c:v>
                </c:pt>
                <c:pt idx="31">
                  <c:v>6.8956000031903386E-3</c:v>
                </c:pt>
                <c:pt idx="32">
                  <c:v>-6.6237999999430031E-3</c:v>
                </c:pt>
                <c:pt idx="33">
                  <c:v>9.3761999960406683E-3</c:v>
                </c:pt>
                <c:pt idx="34">
                  <c:v>-3.4089999971911311E-3</c:v>
                </c:pt>
                <c:pt idx="35">
                  <c:v>2.4906999999075197E-2</c:v>
                </c:pt>
                <c:pt idx="36">
                  <c:v>1.7096399998990819E-2</c:v>
                </c:pt>
                <c:pt idx="37">
                  <c:v>-1.4764400002604816E-2</c:v>
                </c:pt>
                <c:pt idx="38">
                  <c:v>-8.4357999949133955E-3</c:v>
                </c:pt>
                <c:pt idx="39">
                  <c:v>-9.3353999982355163E-3</c:v>
                </c:pt>
                <c:pt idx="42">
                  <c:v>8.1674000030034222E-3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C-40BF-9AB2-DB20D0AE6D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C-40BF-9AB2-DB20D0AE6D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41">
                  <c:v>-4.080999999132473E-3</c:v>
                </c:pt>
                <c:pt idx="43">
                  <c:v>-7.4655999924289063E-3</c:v>
                </c:pt>
                <c:pt idx="44">
                  <c:v>-3.2804000002215616E-3</c:v>
                </c:pt>
                <c:pt idx="45">
                  <c:v>-1.0074799996800721E-2</c:v>
                </c:pt>
                <c:pt idx="46">
                  <c:v>-4.0786000026855618E-3</c:v>
                </c:pt>
                <c:pt idx="47">
                  <c:v>-3.9297999974223785E-3</c:v>
                </c:pt>
                <c:pt idx="48">
                  <c:v>-1.0320000001229346E-4</c:v>
                </c:pt>
                <c:pt idx="49">
                  <c:v>-2.8070000043953769E-3</c:v>
                </c:pt>
                <c:pt idx="50">
                  <c:v>-9.6860000485321507E-4</c:v>
                </c:pt>
                <c:pt idx="51">
                  <c:v>-3.2293999975081533E-3</c:v>
                </c:pt>
                <c:pt idx="52">
                  <c:v>-1.8438000042806379E-3</c:v>
                </c:pt>
                <c:pt idx="53">
                  <c:v>4.4820000039180741E-4</c:v>
                </c:pt>
                <c:pt idx="54">
                  <c:v>-4.8209999949904159E-3</c:v>
                </c:pt>
                <c:pt idx="55">
                  <c:v>-2.1105999985593371E-3</c:v>
                </c:pt>
                <c:pt idx="56">
                  <c:v>-2.7292000013403594E-3</c:v>
                </c:pt>
                <c:pt idx="57">
                  <c:v>-1.6371999954571947E-3</c:v>
                </c:pt>
                <c:pt idx="58">
                  <c:v>-3.3086000039475039E-3</c:v>
                </c:pt>
                <c:pt idx="59">
                  <c:v>-8.5319999197963625E-4</c:v>
                </c:pt>
                <c:pt idx="60">
                  <c:v>-3.7698000014643185E-3</c:v>
                </c:pt>
                <c:pt idx="61">
                  <c:v>-3.1579999631503597E-4</c:v>
                </c:pt>
                <c:pt idx="62">
                  <c:v>-1.4310000042314641E-3</c:v>
                </c:pt>
                <c:pt idx="63">
                  <c:v>-1.5340000027208589E-3</c:v>
                </c:pt>
                <c:pt idx="64">
                  <c:v>-2.2491999989142641E-3</c:v>
                </c:pt>
                <c:pt idx="65">
                  <c:v>-5.3820000175619498E-4</c:v>
                </c:pt>
                <c:pt idx="66">
                  <c:v>-1.4534000001731329E-3</c:v>
                </c:pt>
                <c:pt idx="67">
                  <c:v>-1.8103999973391183E-3</c:v>
                </c:pt>
                <c:pt idx="68">
                  <c:v>3.321999975014478E-4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C-40BF-9AB2-DB20D0AE6D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C-40BF-9AB2-DB20D0AE6D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C-40BF-9AB2-DB20D0AE6D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C-40BF-9AB2-DB20D0AE6D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-2.8623435774938117E-3</c:v>
                </c:pt>
                <c:pt idx="1">
                  <c:v>-2.5987844854107366E-3</c:v>
                </c:pt>
                <c:pt idx="2">
                  <c:v>-2.5873758379911464E-3</c:v>
                </c:pt>
                <c:pt idx="3">
                  <c:v>-2.5873113823560072E-3</c:v>
                </c:pt>
                <c:pt idx="4">
                  <c:v>-2.5871824710857294E-3</c:v>
                </c:pt>
                <c:pt idx="5">
                  <c:v>-2.5614646726652974E-3</c:v>
                </c:pt>
                <c:pt idx="6">
                  <c:v>-2.5417412483127854E-3</c:v>
                </c:pt>
                <c:pt idx="7">
                  <c:v>-2.5323307255825022E-3</c:v>
                </c:pt>
                <c:pt idx="8">
                  <c:v>-2.4965578480803971E-3</c:v>
                </c:pt>
                <c:pt idx="9">
                  <c:v>-2.4520190041993984E-3</c:v>
                </c:pt>
                <c:pt idx="10">
                  <c:v>-2.4398368891581407E-3</c:v>
                </c:pt>
                <c:pt idx="11">
                  <c:v>-2.4294595319007736E-3</c:v>
                </c:pt>
                <c:pt idx="12">
                  <c:v>-2.1892333797379902E-3</c:v>
                </c:pt>
                <c:pt idx="13">
                  <c:v>-2.1411494759243505E-3</c:v>
                </c:pt>
                <c:pt idx="14">
                  <c:v>-2.1401826413972665E-3</c:v>
                </c:pt>
                <c:pt idx="15">
                  <c:v>-2.1319967757346225E-3</c:v>
                </c:pt>
                <c:pt idx="16">
                  <c:v>-2.1319323200994838E-3</c:v>
                </c:pt>
                <c:pt idx="17">
                  <c:v>-2.1318678644643447E-3</c:v>
                </c:pt>
                <c:pt idx="18">
                  <c:v>-2.1299986510453159E-3</c:v>
                </c:pt>
                <c:pt idx="19">
                  <c:v>-2.1299986510453159E-3</c:v>
                </c:pt>
                <c:pt idx="20">
                  <c:v>-2.1196857494230874E-3</c:v>
                </c:pt>
                <c:pt idx="21">
                  <c:v>-2.1085349245440529E-3</c:v>
                </c:pt>
                <c:pt idx="22">
                  <c:v>-2.1085349245440529E-3</c:v>
                </c:pt>
                <c:pt idx="23">
                  <c:v>-2.0739222484744487E-3</c:v>
                </c:pt>
                <c:pt idx="24">
                  <c:v>-2.0525874332434635E-3</c:v>
                </c:pt>
                <c:pt idx="25">
                  <c:v>-2.0393095724048444E-3</c:v>
                </c:pt>
                <c:pt idx="26">
                  <c:v>-2.0303502391205335E-3</c:v>
                </c:pt>
                <c:pt idx="27">
                  <c:v>-2.0303502391205335E-3</c:v>
                </c:pt>
                <c:pt idx="28">
                  <c:v>-2.0295123158637273E-3</c:v>
                </c:pt>
                <c:pt idx="29">
                  <c:v>-2.0295123158637273E-3</c:v>
                </c:pt>
                <c:pt idx="30">
                  <c:v>-2.027449735539282E-3</c:v>
                </c:pt>
                <c:pt idx="31">
                  <c:v>-2.0273852799041429E-3</c:v>
                </c:pt>
                <c:pt idx="32">
                  <c:v>-2.0168790113764979E-3</c:v>
                </c:pt>
                <c:pt idx="33">
                  <c:v>-2.0168790113764979E-3</c:v>
                </c:pt>
                <c:pt idx="34">
                  <c:v>-2.006952843565103E-3</c:v>
                </c:pt>
                <c:pt idx="35">
                  <c:v>-1.9953508292400958E-3</c:v>
                </c:pt>
                <c:pt idx="36">
                  <c:v>-1.9832976254691164E-3</c:v>
                </c:pt>
                <c:pt idx="37">
                  <c:v>-1.9822663353068937E-3</c:v>
                </c:pt>
                <c:pt idx="38">
                  <c:v>-1.9691818413736912E-3</c:v>
                </c:pt>
                <c:pt idx="39">
                  <c:v>-1.9471380141561781E-3</c:v>
                </c:pt>
                <c:pt idx="40">
                  <c:v>-1.914330095870464E-3</c:v>
                </c:pt>
                <c:pt idx="41">
                  <c:v>-1.8593494390969586E-3</c:v>
                </c:pt>
                <c:pt idx="42">
                  <c:v>-1.8572868587725128E-3</c:v>
                </c:pt>
                <c:pt idx="43">
                  <c:v>-1.8550309115426505E-3</c:v>
                </c:pt>
                <c:pt idx="44">
                  <c:v>-1.8327292617845814E-3</c:v>
                </c:pt>
                <c:pt idx="45">
                  <c:v>-1.8141660388645703E-3</c:v>
                </c:pt>
                <c:pt idx="46">
                  <c:v>-1.8141015832294316E-3</c:v>
                </c:pt>
                <c:pt idx="47">
                  <c:v>-1.8028863027152579E-3</c:v>
                </c:pt>
                <c:pt idx="48">
                  <c:v>-1.8001147104042842E-3</c:v>
                </c:pt>
                <c:pt idx="49">
                  <c:v>-1.8000502547691451E-3</c:v>
                </c:pt>
                <c:pt idx="50">
                  <c:v>-1.7786509839030212E-3</c:v>
                </c:pt>
                <c:pt idx="51">
                  <c:v>-1.7776196937407983E-3</c:v>
                </c:pt>
                <c:pt idx="52">
                  <c:v>-1.76550203433468E-3</c:v>
                </c:pt>
                <c:pt idx="53">
                  <c:v>-1.7551891327124516E-3</c:v>
                </c:pt>
                <c:pt idx="54">
                  <c:v>-1.7336609505760499E-3</c:v>
                </c:pt>
                <c:pt idx="55">
                  <c:v>-1.7083943416015901E-3</c:v>
                </c:pt>
                <c:pt idx="56">
                  <c:v>-1.6860282362083823E-3</c:v>
                </c:pt>
                <c:pt idx="57">
                  <c:v>-1.6757153345861539E-3</c:v>
                </c:pt>
                <c:pt idx="58">
                  <c:v>-1.6626308406529513E-3</c:v>
                </c:pt>
                <c:pt idx="59">
                  <c:v>-1.655089531341697E-3</c:v>
                </c:pt>
                <c:pt idx="60">
                  <c:v>-1.6514155601387781E-3</c:v>
                </c:pt>
                <c:pt idx="61">
                  <c:v>-1.6404581021651605E-3</c:v>
                </c:pt>
                <c:pt idx="62">
                  <c:v>-1.6402002796246048E-3</c:v>
                </c:pt>
                <c:pt idx="63">
                  <c:v>-1.628275987123903E-3</c:v>
                </c:pt>
                <c:pt idx="64">
                  <c:v>-1.6280181645833473E-3</c:v>
                </c:pt>
                <c:pt idx="65">
                  <c:v>-1.6180275411368135E-3</c:v>
                </c:pt>
                <c:pt idx="66">
                  <c:v>-1.6177697185962578E-3</c:v>
                </c:pt>
                <c:pt idx="67">
                  <c:v>-1.6168028840691739E-3</c:v>
                </c:pt>
                <c:pt idx="68">
                  <c:v>-1.6056520591901395E-3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C-40BF-9AB2-DB20D0AE6D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12781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5">
                  <c:v>8.2182399997691391E-2</c:v>
                </c:pt>
                <c:pt idx="40">
                  <c:v>3.0303999956231564E-3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1C-40BF-9AB2-DB20D0AE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294480"/>
        <c:axId val="1"/>
      </c:scatterChart>
      <c:valAx>
        <c:axId val="77029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29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78329064288649"/>
          <c:y val="0.92000129214617399"/>
          <c:w val="0.7063257755431173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47625</xdr:rowOff>
    </xdr:from>
    <xdr:to>
      <xdr:col>17</xdr:col>
      <xdr:colOff>142875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618BE23-9A82-7137-65D3-8B4AC8804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5577" TargetMode="External"/><Relationship Id="rId7" Type="http://schemas.openxmlformats.org/officeDocument/2006/relationships/hyperlink" Target="http://www.konkoly.hu/cgi-bin/IBVS?5636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www.konkoly.hu/cgi-bin/IBVS?5670" TargetMode="External"/><Relationship Id="rId5" Type="http://schemas.openxmlformats.org/officeDocument/2006/relationships/hyperlink" Target="http://www.konkoly.hu/cgi-bin/IBVS?5670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577" TargetMode="External"/><Relationship Id="rId9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558"/>
  <sheetViews>
    <sheetView tabSelected="1" workbookViewId="0">
      <pane xSplit="14" ySplit="22" topLeftCell="O76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</row>
    <row r="2" spans="1:6" x14ac:dyDescent="0.2">
      <c r="A2" t="s">
        <v>31</v>
      </c>
      <c r="B2" s="9" t="s">
        <v>51</v>
      </c>
    </row>
    <row r="4" spans="1:6" ht="14.25" thickTop="1" thickBot="1" x14ac:dyDescent="0.25">
      <c r="A4" s="6" t="s">
        <v>7</v>
      </c>
      <c r="C4" s="3">
        <v>33399.557000000001</v>
      </c>
      <c r="D4" s="4">
        <v>2.0633037999999999</v>
      </c>
    </row>
    <row r="5" spans="1:6" ht="13.5" thickTop="1" x14ac:dyDescent="0.2">
      <c r="A5" s="12" t="s">
        <v>56</v>
      </c>
      <c r="B5" s="13"/>
      <c r="C5" s="14">
        <v>-9.5</v>
      </c>
      <c r="D5" s="13" t="s">
        <v>57</v>
      </c>
    </row>
    <row r="6" spans="1:6" x14ac:dyDescent="0.2">
      <c r="A6" s="6" t="s">
        <v>8</v>
      </c>
    </row>
    <row r="7" spans="1:6" x14ac:dyDescent="0.2">
      <c r="A7" t="s">
        <v>9</v>
      </c>
      <c r="C7">
        <f>+C4</f>
        <v>33399.557000000001</v>
      </c>
    </row>
    <row r="8" spans="1:6" x14ac:dyDescent="0.2">
      <c r="A8" t="s">
        <v>10</v>
      </c>
      <c r="C8">
        <f>+D4</f>
        <v>2.0633037999999999</v>
      </c>
    </row>
    <row r="9" spans="1:6" x14ac:dyDescent="0.2">
      <c r="A9" s="28" t="s">
        <v>61</v>
      </c>
      <c r="B9" s="29">
        <v>21</v>
      </c>
      <c r="C9" s="26" t="str">
        <f>"F"&amp;B9</f>
        <v>F21</v>
      </c>
      <c r="D9" s="27" t="str">
        <f>"G"&amp;B9</f>
        <v>G21</v>
      </c>
    </row>
    <row r="10" spans="1:6" ht="13.5" thickBot="1" x14ac:dyDescent="0.25">
      <c r="A10" s="13"/>
      <c r="B10" s="13"/>
      <c r="C10" s="5" t="s">
        <v>27</v>
      </c>
      <c r="D10" s="5" t="s">
        <v>28</v>
      </c>
      <c r="E10" s="13"/>
    </row>
    <row r="11" spans="1:6" x14ac:dyDescent="0.2">
      <c r="A11" s="13" t="s">
        <v>23</v>
      </c>
      <c r="B11" s="13"/>
      <c r="C11" s="25">
        <f ca="1">INTERCEPT(INDIRECT($D$9):G986,INDIRECT($C$9):F986)</f>
        <v>-2.4294595319007736E-3</v>
      </c>
      <c r="D11" s="15"/>
      <c r="E11" s="13"/>
    </row>
    <row r="12" spans="1:6" x14ac:dyDescent="0.2">
      <c r="A12" s="13" t="s">
        <v>24</v>
      </c>
      <c r="B12" s="13"/>
      <c r="C12" s="25">
        <f ca="1">SLOPE(INDIRECT($D$9):G986,INDIRECT($C$9):F986)</f>
        <v>6.4455635138927635E-8</v>
      </c>
      <c r="D12" s="15"/>
      <c r="E12" s="13"/>
    </row>
    <row r="13" spans="1:6" x14ac:dyDescent="0.2">
      <c r="A13" s="13" t="s">
        <v>26</v>
      </c>
      <c r="B13" s="13"/>
      <c r="C13" s="15" t="s">
        <v>21</v>
      </c>
    </row>
    <row r="14" spans="1:6" x14ac:dyDescent="0.2">
      <c r="A14" s="13"/>
      <c r="B14" s="13"/>
      <c r="C14" s="13"/>
    </row>
    <row r="15" spans="1:6" x14ac:dyDescent="0.2">
      <c r="A15" s="16" t="s">
        <v>25</v>
      </c>
      <c r="B15" s="13"/>
      <c r="C15" s="17">
        <f ca="1">(C7+C11)+(C8+C12)*INT(MAX(F21:F3527))</f>
        <v>59770.641262147939</v>
      </c>
      <c r="E15" s="18" t="s">
        <v>66</v>
      </c>
      <c r="F15" s="14">
        <v>1</v>
      </c>
    </row>
    <row r="16" spans="1:6" x14ac:dyDescent="0.2">
      <c r="A16" s="20" t="s">
        <v>11</v>
      </c>
      <c r="B16" s="13"/>
      <c r="C16" s="21">
        <f ca="1">+C8+C12</f>
        <v>2.063303864455635</v>
      </c>
      <c r="E16" s="18" t="s">
        <v>58</v>
      </c>
      <c r="F16" s="19">
        <f ca="1">NOW()+15018.5+$C$5/24</f>
        <v>59964.805383912033</v>
      </c>
    </row>
    <row r="17" spans="1:21" ht="13.5" thickBot="1" x14ac:dyDescent="0.25">
      <c r="A17" s="18" t="s">
        <v>54</v>
      </c>
      <c r="B17" s="13"/>
      <c r="C17" s="13">
        <f>COUNT(C21:C2185)</f>
        <v>69</v>
      </c>
      <c r="E17" s="18" t="s">
        <v>67</v>
      </c>
      <c r="F17" s="19">
        <f ca="1">ROUND(2*(F16-$C$7)/$C$8,0)/2+F15</f>
        <v>12876</v>
      </c>
    </row>
    <row r="18" spans="1:21" ht="14.25" thickTop="1" thickBot="1" x14ac:dyDescent="0.25">
      <c r="A18" s="20" t="s">
        <v>12</v>
      </c>
      <c r="B18" s="13"/>
      <c r="C18" s="23">
        <f ca="1">+C15</f>
        <v>59770.641262147939</v>
      </c>
      <c r="D18" s="24">
        <f ca="1">+C16</f>
        <v>2.063303864455635</v>
      </c>
      <c r="E18" s="18" t="s">
        <v>59</v>
      </c>
      <c r="F18" s="27">
        <f ca="1">ROUND(2*(F16-$C$15)/$C$16,0)/2+F15</f>
        <v>95</v>
      </c>
    </row>
    <row r="19" spans="1:21" ht="13.5" thickTop="1" x14ac:dyDescent="0.2">
      <c r="E19" s="18" t="s">
        <v>60</v>
      </c>
      <c r="F19" s="22">
        <f ca="1">+$C$15+$C$16*F18-15018.5-$C$5/24</f>
        <v>44948.55096260456</v>
      </c>
    </row>
    <row r="20" spans="1:21" ht="13.5" thickBot="1" x14ac:dyDescent="0.25">
      <c r="A20" s="5" t="s">
        <v>13</v>
      </c>
      <c r="B20" s="5" t="s">
        <v>14</v>
      </c>
      <c r="C20" s="5" t="s">
        <v>15</v>
      </c>
      <c r="D20" s="5" t="s">
        <v>20</v>
      </c>
      <c r="E20" s="5" t="s">
        <v>16</v>
      </c>
      <c r="F20" s="5" t="s">
        <v>17</v>
      </c>
      <c r="G20" s="5" t="s">
        <v>18</v>
      </c>
      <c r="H20" s="8" t="s">
        <v>79</v>
      </c>
      <c r="I20" s="8" t="s">
        <v>64</v>
      </c>
      <c r="J20" s="8" t="s">
        <v>76</v>
      </c>
      <c r="K20" s="8" t="s">
        <v>74</v>
      </c>
      <c r="L20" s="8" t="s">
        <v>4</v>
      </c>
      <c r="M20" s="8" t="s">
        <v>5</v>
      </c>
      <c r="N20" s="8" t="s">
        <v>6</v>
      </c>
      <c r="O20" s="8" t="s">
        <v>30</v>
      </c>
      <c r="P20" s="7" t="s">
        <v>29</v>
      </c>
      <c r="Q20" s="5" t="s">
        <v>22</v>
      </c>
      <c r="U20" s="56" t="s">
        <v>293</v>
      </c>
    </row>
    <row r="21" spans="1:21" x14ac:dyDescent="0.2">
      <c r="A21" s="53" t="s">
        <v>89</v>
      </c>
      <c r="B21" s="55" t="s">
        <v>53</v>
      </c>
      <c r="C21" s="54">
        <v>19542.412</v>
      </c>
      <c r="D21" s="31"/>
      <c r="E21" s="30">
        <f>+(C21-C$7)/C$8</f>
        <v>-6715.9983905423915</v>
      </c>
      <c r="F21">
        <f>ROUND(2*E21,0)/2</f>
        <v>-6716</v>
      </c>
      <c r="G21">
        <f>+C21-(C$7+F21*C$8)</f>
        <v>3.3207999986188952E-3</v>
      </c>
      <c r="H21">
        <f>+G21</f>
        <v>3.3207999986188952E-3</v>
      </c>
      <c r="O21">
        <f ca="1">+C$11+C$12*$F21</f>
        <v>-2.8623435774938117E-3</v>
      </c>
      <c r="Q21" s="2">
        <f>+C21-15018.5</f>
        <v>4523.9120000000003</v>
      </c>
    </row>
    <row r="22" spans="1:21" x14ac:dyDescent="0.2">
      <c r="A22" s="53" t="s">
        <v>94</v>
      </c>
      <c r="B22" s="55" t="s">
        <v>53</v>
      </c>
      <c r="C22" s="54">
        <v>27979.262999999999</v>
      </c>
      <c r="D22" s="31"/>
      <c r="E22" s="30">
        <f>+(C22-C$7)/C$8</f>
        <v>-2626.9975366691042</v>
      </c>
      <c r="F22">
        <f>ROUND(2*E22,0)/2</f>
        <v>-2627</v>
      </c>
      <c r="G22">
        <f>+C22-(C$7+F22*C$8)</f>
        <v>5.082599996967474E-3</v>
      </c>
      <c r="H22">
        <f>+G22</f>
        <v>5.082599996967474E-3</v>
      </c>
      <c r="O22">
        <f ca="1">+C$11+C$12*$F22</f>
        <v>-2.5987844854107366E-3</v>
      </c>
      <c r="Q22" s="2">
        <f>+C22-15018.5</f>
        <v>12960.762999999999</v>
      </c>
    </row>
    <row r="23" spans="1:21" x14ac:dyDescent="0.2">
      <c r="A23" s="53" t="s">
        <v>99</v>
      </c>
      <c r="B23" s="55" t="s">
        <v>53</v>
      </c>
      <c r="C23" s="54">
        <v>28344.455999999998</v>
      </c>
      <c r="D23" s="31"/>
      <c r="E23" s="30">
        <f>+(C23-C$7)/C$8</f>
        <v>-2450.0032423727434</v>
      </c>
      <c r="F23">
        <f>ROUND(2*E23,0)/2</f>
        <v>-2450</v>
      </c>
      <c r="G23">
        <f>+C23-(C$7+F23*C$8)</f>
        <v>-6.6900000019813888E-3</v>
      </c>
      <c r="H23">
        <f>+G23</f>
        <v>-6.6900000019813888E-3</v>
      </c>
      <c r="O23">
        <f ca="1">+C$11+C$12*$F23</f>
        <v>-2.5873758379911464E-3</v>
      </c>
      <c r="Q23" s="2">
        <f>+C23-15018.5</f>
        <v>13325.955999999998</v>
      </c>
    </row>
    <row r="24" spans="1:21" x14ac:dyDescent="0.2">
      <c r="A24" s="53" t="s">
        <v>99</v>
      </c>
      <c r="B24" s="55" t="s">
        <v>53</v>
      </c>
      <c r="C24" s="54">
        <v>28346.532999999999</v>
      </c>
      <c r="D24" s="31"/>
      <c r="E24" s="30">
        <f>+(C24-C$7)/C$8</f>
        <v>-2448.9966043778923</v>
      </c>
      <c r="F24">
        <f>ROUND(2*E24,0)/2</f>
        <v>-2449</v>
      </c>
      <c r="G24">
        <f>+C24-(C$7+F24*C$8)</f>
        <v>7.0061999977042433E-3</v>
      </c>
      <c r="H24">
        <f>+G24</f>
        <v>7.0061999977042433E-3</v>
      </c>
      <c r="O24">
        <f ca="1">+C$11+C$12*$F24</f>
        <v>-2.5873113823560072E-3</v>
      </c>
      <c r="Q24" s="2">
        <f>+C24-15018.5</f>
        <v>13328.032999999999</v>
      </c>
    </row>
    <row r="25" spans="1:21" x14ac:dyDescent="0.2">
      <c r="A25" s="53" t="s">
        <v>94</v>
      </c>
      <c r="B25" s="55" t="s">
        <v>53</v>
      </c>
      <c r="C25" s="54">
        <v>28350.651999999998</v>
      </c>
      <c r="D25" s="11"/>
      <c r="E25" s="30">
        <f>+(C25-C$7)/C$8</f>
        <v>-2447.0002914742863</v>
      </c>
      <c r="F25">
        <f>ROUND(2*E25,0)/2</f>
        <v>-2447</v>
      </c>
      <c r="G25">
        <f>+C25-(C$7+F25*C$8)</f>
        <v>-6.0140000277897343E-4</v>
      </c>
      <c r="H25">
        <f>+G25</f>
        <v>-6.0140000277897343E-4</v>
      </c>
      <c r="O25">
        <f ca="1">+C$11+C$12*$F25</f>
        <v>-2.5871824710857294E-3</v>
      </c>
      <c r="Q25" s="2">
        <f>+C25-15018.5</f>
        <v>13332.151999999998</v>
      </c>
    </row>
    <row r="26" spans="1:21" x14ac:dyDescent="0.2">
      <c r="A26" s="53" t="s">
        <v>94</v>
      </c>
      <c r="B26" s="55" t="s">
        <v>53</v>
      </c>
      <c r="C26" s="54">
        <v>29173.992999999999</v>
      </c>
      <c r="D26" s="11"/>
      <c r="E26" s="30">
        <f>+(C26-C$7)/C$8</f>
        <v>-2047.9601695106664</v>
      </c>
      <c r="F26">
        <f>ROUND(2*E26,0)/2</f>
        <v>-2048</v>
      </c>
      <c r="O26">
        <f ca="1">+C$11+C$12*$F26</f>
        <v>-2.5614646726652974E-3</v>
      </c>
      <c r="Q26" s="2">
        <f>+C26-15018.5</f>
        <v>14155.492999999999</v>
      </c>
      <c r="U26">
        <f>+C26-(C$7+F26*C$8)</f>
        <v>8.2182399997691391E-2</v>
      </c>
    </row>
    <row r="27" spans="1:21" x14ac:dyDescent="0.2">
      <c r="A27" s="53" t="s">
        <v>94</v>
      </c>
      <c r="B27" s="55" t="s">
        <v>53</v>
      </c>
      <c r="C27" s="54">
        <v>29805.278999999999</v>
      </c>
      <c r="D27" s="11"/>
      <c r="E27" s="30">
        <f>+(C27-C$7)/C$8</f>
        <v>-1742.0013475475605</v>
      </c>
      <c r="F27">
        <f>ROUND(2*E27,0)/2</f>
        <v>-1742</v>
      </c>
      <c r="G27">
        <f>+C27-(C$7+F27*C$8)</f>
        <v>-2.7804000019386876E-3</v>
      </c>
      <c r="H27">
        <f>+G27</f>
        <v>-2.7804000019386876E-3</v>
      </c>
      <c r="O27">
        <f ca="1">+C$11+C$12*$F27</f>
        <v>-2.5417412483127854E-3</v>
      </c>
      <c r="Q27" s="2">
        <f>+C27-15018.5</f>
        <v>14786.778999999999</v>
      </c>
    </row>
    <row r="28" spans="1:21" x14ac:dyDescent="0.2">
      <c r="A28" s="53" t="s">
        <v>94</v>
      </c>
      <c r="B28" s="55" t="s">
        <v>53</v>
      </c>
      <c r="C28" s="54">
        <v>30106.510999999999</v>
      </c>
      <c r="D28" s="11"/>
      <c r="E28" s="30">
        <f>+(C28-C$7)/C$8</f>
        <v>-1596.0063661008148</v>
      </c>
      <c r="F28">
        <f>ROUND(2*E28,0)/2</f>
        <v>-1596</v>
      </c>
      <c r="G28">
        <f>+C28-(C$7+F28*C$8)</f>
        <v>-1.313520000257995E-2</v>
      </c>
      <c r="H28">
        <f>+G28</f>
        <v>-1.313520000257995E-2</v>
      </c>
      <c r="O28">
        <f ca="1">+C$11+C$12*$F28</f>
        <v>-2.5323307255825022E-3</v>
      </c>
      <c r="Q28" s="2">
        <f>+C28-15018.5</f>
        <v>15088.010999999999</v>
      </c>
    </row>
    <row r="29" spans="1:21" x14ac:dyDescent="0.2">
      <c r="A29" s="53" t="s">
        <v>118</v>
      </c>
      <c r="B29" s="55" t="s">
        <v>53</v>
      </c>
      <c r="C29" s="54">
        <v>31251.669000000002</v>
      </c>
      <c r="D29" s="11"/>
      <c r="E29" s="30">
        <f>+(C29-C$7)/C$8</f>
        <v>-1040.9945447684433</v>
      </c>
      <c r="F29">
        <f>ROUND(2*E29,0)/2</f>
        <v>-1041</v>
      </c>
      <c r="G29">
        <f>+C29-(C$7+F29*C$8)</f>
        <v>1.1255800000071758E-2</v>
      </c>
      <c r="H29">
        <f>+G29</f>
        <v>1.1255800000071758E-2</v>
      </c>
      <c r="O29">
        <f ca="1">+C$11+C$12*$F29</f>
        <v>-2.4965578480803971E-3</v>
      </c>
      <c r="Q29" s="2">
        <f>+C29-15018.5</f>
        <v>16233.169000000002</v>
      </c>
    </row>
    <row r="30" spans="1:21" x14ac:dyDescent="0.2">
      <c r="A30" s="53" t="s">
        <v>123</v>
      </c>
      <c r="B30" s="55" t="s">
        <v>53</v>
      </c>
      <c r="C30" s="54">
        <v>32677.377</v>
      </c>
      <c r="D30" s="11"/>
      <c r="E30" s="30">
        <f>+(C30-C$7)/C$8</f>
        <v>-350.01147189279658</v>
      </c>
      <c r="F30">
        <f>ROUND(2*E30,0)/2</f>
        <v>-350</v>
      </c>
      <c r="G30">
        <f>+C30-(C$7+F30*C$8)</f>
        <v>-2.3669999998674029E-2</v>
      </c>
      <c r="H30">
        <f>+G30</f>
        <v>-2.3669999998674029E-2</v>
      </c>
      <c r="O30">
        <f ca="1">+C$11+C$12*$F30</f>
        <v>-2.4520190041993984E-3</v>
      </c>
      <c r="Q30" s="2">
        <f>+C30-15018.5</f>
        <v>17658.877</v>
      </c>
    </row>
    <row r="31" spans="1:21" x14ac:dyDescent="0.2">
      <c r="A31" s="53" t="s">
        <v>127</v>
      </c>
      <c r="B31" s="55" t="s">
        <v>53</v>
      </c>
      <c r="C31" s="54">
        <v>33067.345999999998</v>
      </c>
      <c r="D31" s="11"/>
      <c r="E31" s="30">
        <f>+(C31-C$7)/C$8</f>
        <v>-161.00925127943009</v>
      </c>
      <c r="F31">
        <f>ROUND(2*E31,0)/2</f>
        <v>-161</v>
      </c>
      <c r="G31">
        <f>+C31-(C$7+F31*C$8)</f>
        <v>-1.9088200002443045E-2</v>
      </c>
      <c r="H31">
        <f>+G31</f>
        <v>-1.9088200002443045E-2</v>
      </c>
      <c r="O31">
        <f ca="1">+C$11+C$12*$F31</f>
        <v>-2.4398368891581407E-3</v>
      </c>
      <c r="Q31" s="2">
        <f>+C31-15018.5</f>
        <v>18048.845999999998</v>
      </c>
    </row>
    <row r="32" spans="1:21" x14ac:dyDescent="0.2">
      <c r="A32" t="s">
        <v>19</v>
      </c>
      <c r="C32" s="11">
        <v>33399.557000000001</v>
      </c>
      <c r="D32" s="11" t="s">
        <v>21</v>
      </c>
      <c r="E32">
        <f>+(C32-C$7)/C$8</f>
        <v>0</v>
      </c>
      <c r="F32">
        <f>ROUND(2*E32,0)/2</f>
        <v>0</v>
      </c>
      <c r="G32">
        <f>+C32-(C$7+F32*C$8)</f>
        <v>0</v>
      </c>
      <c r="H32">
        <f>+G32</f>
        <v>0</v>
      </c>
      <c r="O32">
        <f ca="1">+C$11+C$12*$F32</f>
        <v>-2.4294595319007736E-3</v>
      </c>
      <c r="Q32" s="2">
        <f>+C32-15018.5</f>
        <v>18381.057000000001</v>
      </c>
    </row>
    <row r="33" spans="1:33" x14ac:dyDescent="0.2">
      <c r="A33" s="53" t="s">
        <v>135</v>
      </c>
      <c r="B33" s="55" t="s">
        <v>53</v>
      </c>
      <c r="C33" s="54">
        <v>41089.49</v>
      </c>
      <c r="D33" s="11"/>
      <c r="E33" s="30">
        <f>+(C33-C$7)/C$8</f>
        <v>3726.9998727283873</v>
      </c>
      <c r="F33">
        <f>ROUND(2*E33,0)/2</f>
        <v>3727</v>
      </c>
      <c r="G33">
        <f>+C33-(C$7+F33*C$8)</f>
        <v>-2.6259999867761508E-4</v>
      </c>
      <c r="I33">
        <f>+G33</f>
        <v>-2.6259999867761508E-4</v>
      </c>
      <c r="O33">
        <f ca="1">+C$11+C$12*$F33</f>
        <v>-2.1892333797379902E-3</v>
      </c>
      <c r="Q33" s="2">
        <f>+C33-15018.5</f>
        <v>26070.989999999998</v>
      </c>
    </row>
    <row r="34" spans="1:33" x14ac:dyDescent="0.2">
      <c r="A34" t="s">
        <v>33</v>
      </c>
      <c r="C34" s="11">
        <v>42628.709000000003</v>
      </c>
      <c r="D34" s="11"/>
      <c r="E34">
        <f>+(C34-C$7)/C$8</f>
        <v>4472.9971417684601</v>
      </c>
      <c r="F34">
        <f>ROUND(2*E34,0)/2</f>
        <v>4473</v>
      </c>
      <c r="G34">
        <f>+C34-(C$7+F34*C$8)</f>
        <v>-5.8973999985028058E-3</v>
      </c>
      <c r="I34">
        <f>+G34</f>
        <v>-5.8973999985028058E-3</v>
      </c>
      <c r="O34">
        <f ca="1">+C$11+C$12*$F34</f>
        <v>-2.1411494759243505E-3</v>
      </c>
      <c r="Q34" s="2">
        <f>+C34-15018.5</f>
        <v>27610.209000000003</v>
      </c>
      <c r="AB34" t="s">
        <v>32</v>
      </c>
      <c r="AG34" t="s">
        <v>34</v>
      </c>
    </row>
    <row r="35" spans="1:33" x14ac:dyDescent="0.2">
      <c r="A35" t="s">
        <v>33</v>
      </c>
      <c r="C35" s="11">
        <v>42659.692999999999</v>
      </c>
      <c r="D35" s="11"/>
      <c r="E35">
        <f>+(C35-C$7)/C$8</f>
        <v>4488.013834899155</v>
      </c>
      <c r="F35">
        <f>ROUND(2*E35,0)/2</f>
        <v>4488</v>
      </c>
      <c r="G35">
        <f>+C35-(C$7+F35*C$8)</f>
        <v>2.8545599998324178E-2</v>
      </c>
      <c r="I35">
        <f>+G35</f>
        <v>2.8545599998324178E-2</v>
      </c>
      <c r="O35">
        <f ca="1">+C$11+C$12*$F35</f>
        <v>-2.1401826413972665E-3</v>
      </c>
      <c r="Q35" s="2">
        <f>+C35-15018.5</f>
        <v>27641.192999999999</v>
      </c>
      <c r="AB35" t="s">
        <v>32</v>
      </c>
      <c r="AG35" t="s">
        <v>34</v>
      </c>
    </row>
    <row r="36" spans="1:33" x14ac:dyDescent="0.2">
      <c r="A36" t="s">
        <v>37</v>
      </c>
      <c r="C36" s="11">
        <v>42921.701999999997</v>
      </c>
      <c r="D36" s="11"/>
      <c r="E36">
        <f>+(C36-C$7)/C$8</f>
        <v>4614.9990127483879</v>
      </c>
      <c r="F36">
        <f>ROUND(2*E36,0)/2</f>
        <v>4615</v>
      </c>
      <c r="G36">
        <f>+C36-(C$7+F36*C$8)</f>
        <v>-2.037000005657319E-3</v>
      </c>
      <c r="I36">
        <f>+G36</f>
        <v>-2.037000005657319E-3</v>
      </c>
      <c r="O36">
        <f ca="1">+C$11+C$12*$F36</f>
        <v>-2.1319967757346225E-3</v>
      </c>
      <c r="Q36" s="2">
        <f>+C36-15018.5</f>
        <v>27903.201999999997</v>
      </c>
      <c r="AA36" t="s">
        <v>35</v>
      </c>
      <c r="AB36" t="s">
        <v>32</v>
      </c>
      <c r="AC36">
        <v>8</v>
      </c>
      <c r="AE36" t="s">
        <v>36</v>
      </c>
      <c r="AG36" t="s">
        <v>38</v>
      </c>
    </row>
    <row r="37" spans="1:33" x14ac:dyDescent="0.2">
      <c r="A37" t="s">
        <v>37</v>
      </c>
      <c r="C37" s="11">
        <v>42923.767999999996</v>
      </c>
      <c r="D37" s="11"/>
      <c r="E37">
        <f>+(C37-C$7)/C$8</f>
        <v>4616.0003194876081</v>
      </c>
      <c r="F37">
        <f>ROUND(2*E37,0)/2</f>
        <v>4616</v>
      </c>
      <c r="G37">
        <f>+C37-(C$7+F37*C$8)</f>
        <v>6.5919999906327575E-4</v>
      </c>
      <c r="I37">
        <f>+G37</f>
        <v>6.5919999906327575E-4</v>
      </c>
      <c r="O37">
        <f ca="1">+C$11+C$12*$F37</f>
        <v>-2.1319323200994838E-3</v>
      </c>
      <c r="Q37" s="2">
        <f>+C37-15018.5</f>
        <v>27905.267999999996</v>
      </c>
      <c r="AB37" t="s">
        <v>32</v>
      </c>
      <c r="AC37">
        <v>14</v>
      </c>
      <c r="AE37" t="s">
        <v>39</v>
      </c>
      <c r="AG37" t="s">
        <v>38</v>
      </c>
    </row>
    <row r="38" spans="1:33" x14ac:dyDescent="0.2">
      <c r="A38" t="s">
        <v>37</v>
      </c>
      <c r="C38" s="11">
        <v>42925.815999999999</v>
      </c>
      <c r="D38" s="11"/>
      <c r="E38">
        <f>+(C38-C$7)/C$8</f>
        <v>4616.9929023539817</v>
      </c>
      <c r="F38">
        <f>ROUND(2*E38,0)/2</f>
        <v>4617</v>
      </c>
      <c r="G38">
        <f>+C38-(C$7+F38*C$8)</f>
        <v>-1.4644599999883212E-2</v>
      </c>
      <c r="I38">
        <f>+G38</f>
        <v>-1.4644599999883212E-2</v>
      </c>
      <c r="O38">
        <f ca="1">+C$11+C$12*$F38</f>
        <v>-2.1318678644643447E-3</v>
      </c>
      <c r="Q38" s="2">
        <f>+C38-15018.5</f>
        <v>27907.315999999999</v>
      </c>
      <c r="AB38" t="s">
        <v>32</v>
      </c>
      <c r="AC38">
        <v>13</v>
      </c>
      <c r="AE38" t="s">
        <v>39</v>
      </c>
      <c r="AG38" t="s">
        <v>38</v>
      </c>
    </row>
    <row r="39" spans="1:33" x14ac:dyDescent="0.2">
      <c r="A39" t="s">
        <v>37</v>
      </c>
      <c r="C39" s="11">
        <v>42985.652000000002</v>
      </c>
      <c r="D39" s="11"/>
      <c r="E39">
        <f>+(C39-C$7)/C$8</f>
        <v>4645.9929943423749</v>
      </c>
      <c r="F39">
        <f>ROUND(2*E39,0)/2</f>
        <v>4646</v>
      </c>
      <c r="G39">
        <f>+C39-(C$7+F39*C$8)</f>
        <v>-1.4454799995291978E-2</v>
      </c>
      <c r="I39">
        <f>+G39</f>
        <v>-1.4454799995291978E-2</v>
      </c>
      <c r="O39">
        <f ca="1">+C$11+C$12*$F39</f>
        <v>-2.1299986510453159E-3</v>
      </c>
      <c r="Q39" s="2">
        <f>+C39-15018.5</f>
        <v>27967.152000000002</v>
      </c>
      <c r="AA39" t="s">
        <v>35</v>
      </c>
      <c r="AB39" t="s">
        <v>32</v>
      </c>
      <c r="AC39">
        <v>6</v>
      </c>
      <c r="AE39" t="s">
        <v>40</v>
      </c>
      <c r="AG39" t="s">
        <v>38</v>
      </c>
    </row>
    <row r="40" spans="1:33" x14ac:dyDescent="0.2">
      <c r="A40" t="s">
        <v>37</v>
      </c>
      <c r="C40" s="11">
        <v>42985.661999999997</v>
      </c>
      <c r="D40" s="11"/>
      <c r="E40">
        <f>+(C40-C$7)/C$8</f>
        <v>4645.9978409384003</v>
      </c>
      <c r="F40">
        <f>ROUND(2*E40,0)/2</f>
        <v>4646</v>
      </c>
      <c r="G40">
        <f>+C40-(C$7+F40*C$8)</f>
        <v>-4.4548000005306676E-3</v>
      </c>
      <c r="I40">
        <f>+G40</f>
        <v>-4.4548000005306676E-3</v>
      </c>
      <c r="O40">
        <f ca="1">+C$11+C$12*$F40</f>
        <v>-2.1299986510453159E-3</v>
      </c>
      <c r="Q40" s="2">
        <f>+C40-15018.5</f>
        <v>27967.161999999997</v>
      </c>
      <c r="AA40" t="s">
        <v>35</v>
      </c>
      <c r="AB40" t="s">
        <v>32</v>
      </c>
      <c r="AC40">
        <v>7</v>
      </c>
      <c r="AE40" t="s">
        <v>39</v>
      </c>
      <c r="AG40" t="s">
        <v>38</v>
      </c>
    </row>
    <row r="41" spans="1:33" x14ac:dyDescent="0.2">
      <c r="A41" t="s">
        <v>37</v>
      </c>
      <c r="C41" s="11">
        <v>43315.779000000002</v>
      </c>
      <c r="D41" s="11"/>
      <c r="E41">
        <f>+(C41-C$7)/C$8</f>
        <v>4805.9922150097345</v>
      </c>
      <c r="F41">
        <f>ROUND(2*E41,0)/2</f>
        <v>4806</v>
      </c>
      <c r="G41">
        <f>+C41-(C$7+F41*C$8)</f>
        <v>-1.6062799993960653E-2</v>
      </c>
      <c r="I41">
        <f>+G41</f>
        <v>-1.6062799993960653E-2</v>
      </c>
      <c r="O41">
        <f ca="1">+C$11+C$12*$F41</f>
        <v>-2.1196857494230874E-3</v>
      </c>
      <c r="Q41" s="2">
        <f>+C41-15018.5</f>
        <v>28297.279000000002</v>
      </c>
      <c r="AB41" t="s">
        <v>32</v>
      </c>
      <c r="AC41">
        <v>9</v>
      </c>
      <c r="AE41" t="s">
        <v>39</v>
      </c>
      <c r="AG41" t="s">
        <v>38</v>
      </c>
    </row>
    <row r="42" spans="1:33" x14ac:dyDescent="0.2">
      <c r="A42" t="s">
        <v>37</v>
      </c>
      <c r="C42" s="11">
        <v>43672.718999999997</v>
      </c>
      <c r="D42" s="11"/>
      <c r="E42">
        <f>+(C42-C$7)/C$8</f>
        <v>4978.9866136048395</v>
      </c>
      <c r="F42">
        <f>ROUND(2*E42,0)/2</f>
        <v>4979</v>
      </c>
      <c r="G42">
        <f>+C42-(C$7+F42*C$8)</f>
        <v>-2.7620200002274942E-2</v>
      </c>
      <c r="I42">
        <f>+G42</f>
        <v>-2.7620200002274942E-2</v>
      </c>
      <c r="O42">
        <f ca="1">+C$11+C$12*$F42</f>
        <v>-2.1085349245440529E-3</v>
      </c>
      <c r="Q42" s="2">
        <f>+C42-15018.5</f>
        <v>28654.218999999997</v>
      </c>
      <c r="AA42" t="s">
        <v>35</v>
      </c>
      <c r="AB42" t="s">
        <v>32</v>
      </c>
      <c r="AC42">
        <v>12</v>
      </c>
      <c r="AE42" t="s">
        <v>39</v>
      </c>
      <c r="AG42" t="s">
        <v>38</v>
      </c>
    </row>
    <row r="43" spans="1:33" x14ac:dyDescent="0.2">
      <c r="A43" t="s">
        <v>37</v>
      </c>
      <c r="C43" s="11">
        <v>43672.735999999997</v>
      </c>
      <c r="D43" s="11"/>
      <c r="E43">
        <f>+(C43-C$7)/C$8</f>
        <v>4978.9948528180857</v>
      </c>
      <c r="F43">
        <f>ROUND(2*E43,0)/2</f>
        <v>4979</v>
      </c>
      <c r="G43">
        <f>+C43-(C$7+F43*C$8)</f>
        <v>-1.0620200002449565E-2</v>
      </c>
      <c r="I43">
        <f>+G43</f>
        <v>-1.0620200002449565E-2</v>
      </c>
      <c r="O43">
        <f ca="1">+C$11+C$12*$F43</f>
        <v>-2.1085349245440529E-3</v>
      </c>
      <c r="Q43" s="2">
        <f>+C43-15018.5</f>
        <v>28654.235999999997</v>
      </c>
      <c r="AB43" t="s">
        <v>32</v>
      </c>
      <c r="AC43">
        <v>10</v>
      </c>
      <c r="AE43" t="s">
        <v>41</v>
      </c>
      <c r="AG43" t="s">
        <v>38</v>
      </c>
    </row>
    <row r="44" spans="1:33" x14ac:dyDescent="0.2">
      <c r="A44" t="s">
        <v>37</v>
      </c>
      <c r="C44" s="11">
        <v>44780.758999999998</v>
      </c>
      <c r="D44" s="11"/>
      <c r="E44">
        <f>+(C44-C$7)/C$8</f>
        <v>5516.008839803425</v>
      </c>
      <c r="F44">
        <f>ROUND(2*E44,0)/2</f>
        <v>5516</v>
      </c>
      <c r="G44">
        <f>+C44-(C$7+F44*C$8)</f>
        <v>1.8239199998788536E-2</v>
      </c>
      <c r="I44">
        <f>+G44</f>
        <v>1.8239199998788536E-2</v>
      </c>
      <c r="O44">
        <f ca="1">+C$11+C$12*$F44</f>
        <v>-2.0739222484744487E-3</v>
      </c>
      <c r="Q44" s="2">
        <f>+C44-15018.5</f>
        <v>29762.258999999998</v>
      </c>
      <c r="AB44" t="s">
        <v>32</v>
      </c>
      <c r="AC44">
        <v>11</v>
      </c>
      <c r="AE44" t="s">
        <v>36</v>
      </c>
      <c r="AG44" t="s">
        <v>38</v>
      </c>
    </row>
    <row r="45" spans="1:33" x14ac:dyDescent="0.2">
      <c r="A45" t="s">
        <v>37</v>
      </c>
      <c r="C45" s="11">
        <v>45463.686000000002</v>
      </c>
      <c r="D45" s="11"/>
      <c r="E45">
        <f>+(C45-C$7)/C$8</f>
        <v>5846.9959683106299</v>
      </c>
      <c r="F45">
        <f>ROUND(2*E45,0)/2</f>
        <v>5847</v>
      </c>
      <c r="G45">
        <f>+C45-(C$7+F45*C$8)</f>
        <v>-8.3185999974375591E-3</v>
      </c>
      <c r="I45">
        <f>+G45</f>
        <v>-8.3185999974375591E-3</v>
      </c>
      <c r="O45">
        <f ca="1">+C$11+C$12*$F45</f>
        <v>-2.0525874332434635E-3</v>
      </c>
      <c r="Q45" s="2">
        <f>+C45-15018.5</f>
        <v>30445.186000000002</v>
      </c>
      <c r="AB45" t="s">
        <v>32</v>
      </c>
      <c r="AC45">
        <v>14</v>
      </c>
      <c r="AE45" t="s">
        <v>39</v>
      </c>
      <c r="AG45" t="s">
        <v>38</v>
      </c>
    </row>
    <row r="46" spans="1:33" x14ac:dyDescent="0.2">
      <c r="A46" t="s">
        <v>37</v>
      </c>
      <c r="C46" s="11">
        <v>45888.720999999998</v>
      </c>
      <c r="D46" s="11"/>
      <c r="E46">
        <f>+(C46-C$7)/C$8</f>
        <v>6052.9932625529973</v>
      </c>
      <c r="F46">
        <f>ROUND(2*E46,0)/2</f>
        <v>6053</v>
      </c>
      <c r="G46">
        <f>+C46-(C$7+F46*C$8)</f>
        <v>-1.3901400001486763E-2</v>
      </c>
      <c r="I46">
        <f>+G46</f>
        <v>-1.3901400001486763E-2</v>
      </c>
      <c r="O46">
        <f ca="1">+C$11+C$12*$F46</f>
        <v>-2.0393095724048444E-3</v>
      </c>
      <c r="Q46" s="2">
        <f>+C46-15018.5</f>
        <v>30870.220999999998</v>
      </c>
      <c r="AB46" t="s">
        <v>32</v>
      </c>
      <c r="AC46">
        <v>12</v>
      </c>
      <c r="AE46" t="s">
        <v>39</v>
      </c>
      <c r="AG46" t="s">
        <v>38</v>
      </c>
    </row>
    <row r="47" spans="1:33" x14ac:dyDescent="0.2">
      <c r="A47" t="s">
        <v>42</v>
      </c>
      <c r="C47" s="11">
        <v>46175.516000000003</v>
      </c>
      <c r="D47" s="11"/>
      <c r="E47">
        <f>+(C47-C$7)/C$8</f>
        <v>6191.9912133152684</v>
      </c>
      <c r="F47">
        <f>ROUND(2*E47,0)/2</f>
        <v>6192</v>
      </c>
      <c r="G47">
        <f>+C47-(C$7+F47*C$8)</f>
        <v>-1.812959999369923E-2</v>
      </c>
      <c r="I47">
        <f>+G47</f>
        <v>-1.812959999369923E-2</v>
      </c>
      <c r="O47">
        <f ca="1">+C$11+C$12*$F47</f>
        <v>-2.0303502391205335E-3</v>
      </c>
      <c r="Q47" s="2">
        <f>+C47-15018.5</f>
        <v>31157.016000000003</v>
      </c>
      <c r="AB47" t="s">
        <v>32</v>
      </c>
      <c r="AG47" t="s">
        <v>34</v>
      </c>
    </row>
    <row r="48" spans="1:33" x14ac:dyDescent="0.2">
      <c r="A48" t="s">
        <v>42</v>
      </c>
      <c r="C48" s="11">
        <v>46175.536999999997</v>
      </c>
      <c r="D48" s="11"/>
      <c r="E48">
        <f>+(C48-C$7)/C$8</f>
        <v>6192.0013911669221</v>
      </c>
      <c r="F48">
        <f>ROUND(2*E48,0)/2</f>
        <v>6192</v>
      </c>
      <c r="G48">
        <f>+C48-(C$7+F48*C$8)</f>
        <v>2.8703999996650964E-3</v>
      </c>
      <c r="I48">
        <f>+G48</f>
        <v>2.8703999996650964E-3</v>
      </c>
      <c r="O48">
        <f ca="1">+C$11+C$12*$F48</f>
        <v>-2.0303502391205335E-3</v>
      </c>
      <c r="Q48" s="2">
        <f>+C48-15018.5</f>
        <v>31157.036999999997</v>
      </c>
      <c r="AB48" t="s">
        <v>32</v>
      </c>
      <c r="AG48" t="s">
        <v>34</v>
      </c>
    </row>
    <row r="49" spans="1:33" x14ac:dyDescent="0.2">
      <c r="A49" t="s">
        <v>44</v>
      </c>
      <c r="C49" s="11">
        <v>46202.37</v>
      </c>
      <c r="D49" s="11"/>
      <c r="E49">
        <f>+(C49-C$7)/C$8</f>
        <v>6205.0062622867281</v>
      </c>
      <c r="F49">
        <f>ROUND(2*E49,0)/2</f>
        <v>6205</v>
      </c>
      <c r="G49">
        <f>+C49-(C$7+F49*C$8)</f>
        <v>1.2921000001369976E-2</v>
      </c>
      <c r="I49">
        <f>+G49</f>
        <v>1.2921000001369976E-2</v>
      </c>
      <c r="O49">
        <f ca="1">+C$11+C$12*$F49</f>
        <v>-2.0295123158637273E-3</v>
      </c>
      <c r="Q49" s="2">
        <f>+C49-15018.5</f>
        <v>31183.870000000003</v>
      </c>
      <c r="AC49">
        <v>23</v>
      </c>
      <c r="AE49" t="s">
        <v>43</v>
      </c>
      <c r="AG49" t="s">
        <v>45</v>
      </c>
    </row>
    <row r="50" spans="1:33" x14ac:dyDescent="0.2">
      <c r="A50" t="s">
        <v>46</v>
      </c>
      <c r="C50" s="11">
        <v>46202.375</v>
      </c>
      <c r="D50" s="11"/>
      <c r="E50">
        <f>+(C50-C$7)/C$8</f>
        <v>6205.0086855847403</v>
      </c>
      <c r="F50">
        <f>ROUND(2*E50,0)/2</f>
        <v>6205</v>
      </c>
      <c r="G50">
        <f>+C50-(C$7+F50*C$8)</f>
        <v>1.7920999998750631E-2</v>
      </c>
      <c r="I50">
        <f>+G50</f>
        <v>1.7920999998750631E-2</v>
      </c>
      <c r="O50">
        <f ca="1">+C$11+C$12*$F50</f>
        <v>-2.0295123158637273E-3</v>
      </c>
      <c r="Q50" s="2">
        <f>+C50-15018.5</f>
        <v>31183.875</v>
      </c>
      <c r="AB50" t="s">
        <v>32</v>
      </c>
      <c r="AG50" t="s">
        <v>34</v>
      </c>
    </row>
    <row r="51" spans="1:33" x14ac:dyDescent="0.2">
      <c r="A51" t="s">
        <v>42</v>
      </c>
      <c r="C51" s="11">
        <v>46268.389000000003</v>
      </c>
      <c r="D51" s="11"/>
      <c r="E51">
        <f>+(C51-C$7)/C$8</f>
        <v>6237.0030045987423</v>
      </c>
      <c r="F51">
        <f>ROUND(2*E51,0)/2</f>
        <v>6237</v>
      </c>
      <c r="G51">
        <f>+C51-(C$7+F51*C$8)</f>
        <v>6.1994000061531551E-3</v>
      </c>
      <c r="I51">
        <f>+G51</f>
        <v>6.1994000061531551E-3</v>
      </c>
      <c r="O51">
        <f ca="1">+C$11+C$12*$F51</f>
        <v>-2.027449735539282E-3</v>
      </c>
      <c r="Q51" s="2">
        <f>+C51-15018.5</f>
        <v>31249.889000000003</v>
      </c>
      <c r="AB51" t="s">
        <v>32</v>
      </c>
      <c r="AG51" t="s">
        <v>34</v>
      </c>
    </row>
    <row r="52" spans="1:33" x14ac:dyDescent="0.2">
      <c r="A52" t="s">
        <v>42</v>
      </c>
      <c r="C52" s="11">
        <v>46270.453000000001</v>
      </c>
      <c r="D52" s="11"/>
      <c r="E52">
        <f>+(C52-C$7)/C$8</f>
        <v>6238.0033420187574</v>
      </c>
      <c r="F52">
        <f>ROUND(2*E52,0)/2</f>
        <v>6238</v>
      </c>
      <c r="G52">
        <f>+C52-(C$7+F52*C$8)</f>
        <v>6.8956000031903386E-3</v>
      </c>
      <c r="I52">
        <f>+G52</f>
        <v>6.8956000031903386E-3</v>
      </c>
      <c r="O52">
        <f ca="1">+C$11+C$12*$F52</f>
        <v>-2.0273852799041429E-3</v>
      </c>
      <c r="Q52" s="2">
        <f>+C52-15018.5</f>
        <v>31251.953000000001</v>
      </c>
      <c r="AB52" t="s">
        <v>32</v>
      </c>
      <c r="AG52" t="s">
        <v>34</v>
      </c>
    </row>
    <row r="53" spans="1:33" x14ac:dyDescent="0.2">
      <c r="A53" t="s">
        <v>37</v>
      </c>
      <c r="C53" s="11">
        <v>46606.758000000002</v>
      </c>
      <c r="D53" s="11"/>
      <c r="E53">
        <f>+(C53-C$7)/C$8</f>
        <v>6400.996789711724</v>
      </c>
      <c r="F53">
        <f>ROUND(2*E53,0)/2</f>
        <v>6401</v>
      </c>
      <c r="G53">
        <f>+C53-(C$7+F53*C$8)</f>
        <v>-6.6237999999430031E-3</v>
      </c>
      <c r="I53">
        <f>+G53</f>
        <v>-6.6237999999430031E-3</v>
      </c>
      <c r="O53">
        <f ca="1">+C$11+C$12*$F53</f>
        <v>-2.0168790113764979E-3</v>
      </c>
      <c r="Q53" s="2">
        <f>+C53-15018.5</f>
        <v>31588.258000000002</v>
      </c>
      <c r="AB53" t="s">
        <v>32</v>
      </c>
      <c r="AC53">
        <v>10</v>
      </c>
      <c r="AE53" t="s">
        <v>47</v>
      </c>
      <c r="AG53" t="s">
        <v>38</v>
      </c>
    </row>
    <row r="54" spans="1:33" x14ac:dyDescent="0.2">
      <c r="A54" t="s">
        <v>37</v>
      </c>
      <c r="C54" s="11">
        <v>46606.773999999998</v>
      </c>
      <c r="D54" s="11"/>
      <c r="E54">
        <f>+(C54-C$7)/C$8</f>
        <v>6401.0045442653654</v>
      </c>
      <c r="F54">
        <f>ROUND(2*E54,0)/2</f>
        <v>6401</v>
      </c>
      <c r="G54">
        <f>+C54-(C$7+F54*C$8)</f>
        <v>9.3761999960406683E-3</v>
      </c>
      <c r="I54">
        <f>+G54</f>
        <v>9.3761999960406683E-3</v>
      </c>
      <c r="O54">
        <f ca="1">+C$11+C$12*$F54</f>
        <v>-2.0168790113764979E-3</v>
      </c>
      <c r="Q54" s="2">
        <f>+C54-15018.5</f>
        <v>31588.273999999998</v>
      </c>
      <c r="AB54" t="s">
        <v>32</v>
      </c>
      <c r="AC54">
        <v>15</v>
      </c>
      <c r="AE54" t="s">
        <v>39</v>
      </c>
      <c r="AG54" t="s">
        <v>38</v>
      </c>
    </row>
    <row r="55" spans="1:33" x14ac:dyDescent="0.2">
      <c r="A55" t="s">
        <v>48</v>
      </c>
      <c r="C55" s="11">
        <v>46924.51</v>
      </c>
      <c r="D55" s="11"/>
      <c r="E55">
        <f>+(C55-C$7)/C$8</f>
        <v>6554.9983477954156</v>
      </c>
      <c r="F55">
        <f>ROUND(2*E55,0)/2</f>
        <v>6555</v>
      </c>
      <c r="G55">
        <f>+C55-(C$7+F55*C$8)</f>
        <v>-3.4089999971911311E-3</v>
      </c>
      <c r="I55">
        <f>+G55</f>
        <v>-3.4089999971911311E-3</v>
      </c>
      <c r="O55">
        <f ca="1">+C$11+C$12*$F55</f>
        <v>-2.006952843565103E-3</v>
      </c>
      <c r="Q55" s="2">
        <f>+C55-15018.5</f>
        <v>31906.010000000002</v>
      </c>
      <c r="AB55" t="s">
        <v>32</v>
      </c>
      <c r="AG55" t="s">
        <v>34</v>
      </c>
    </row>
    <row r="56" spans="1:33" x14ac:dyDescent="0.2">
      <c r="A56" t="s">
        <v>37</v>
      </c>
      <c r="C56" s="11">
        <v>47295.932999999997</v>
      </c>
      <c r="D56" s="11"/>
      <c r="E56">
        <f>+(C56-C$7)/C$8</f>
        <v>6735.0120714167233</v>
      </c>
      <c r="F56">
        <f>ROUND(2*E56,0)/2</f>
        <v>6735</v>
      </c>
      <c r="G56">
        <f>+C56-(C$7+F56*C$8)</f>
        <v>2.4906999999075197E-2</v>
      </c>
      <c r="I56">
        <f>+G56</f>
        <v>2.4906999999075197E-2</v>
      </c>
      <c r="O56">
        <f ca="1">+C$11+C$12*$F56</f>
        <v>-1.9953508292400958E-3</v>
      </c>
      <c r="Q56" s="2">
        <f>+C56-15018.5</f>
        <v>32277.432999999997</v>
      </c>
      <c r="AB56" t="s">
        <v>32</v>
      </c>
      <c r="AC56">
        <v>11</v>
      </c>
      <c r="AE56" t="s">
        <v>47</v>
      </c>
      <c r="AG56" t="s">
        <v>38</v>
      </c>
    </row>
    <row r="57" spans="1:33" x14ac:dyDescent="0.2">
      <c r="A57" t="s">
        <v>37</v>
      </c>
      <c r="C57" s="11">
        <v>47681.762999999999</v>
      </c>
      <c r="D57" s="11"/>
      <c r="E57">
        <f>+(C57-C$7)/C$8</f>
        <v>6922.0082859344311</v>
      </c>
      <c r="F57">
        <f>ROUND(2*E57,0)/2</f>
        <v>6922</v>
      </c>
      <c r="G57">
        <f>+C57-(C$7+F57*C$8)</f>
        <v>1.7096399998990819E-2</v>
      </c>
      <c r="I57">
        <f>+G57</f>
        <v>1.7096399998990819E-2</v>
      </c>
      <c r="O57">
        <f ca="1">+C$11+C$12*$F57</f>
        <v>-1.9832976254691164E-3</v>
      </c>
      <c r="Q57" s="2">
        <f>+C57-15018.5</f>
        <v>32663.262999999999</v>
      </c>
      <c r="AB57" t="s">
        <v>32</v>
      </c>
      <c r="AC57">
        <v>15</v>
      </c>
      <c r="AE57" t="s">
        <v>39</v>
      </c>
      <c r="AG57" t="s">
        <v>38</v>
      </c>
    </row>
    <row r="58" spans="1:33" x14ac:dyDescent="0.2">
      <c r="A58" t="s">
        <v>37</v>
      </c>
      <c r="C58" s="11">
        <v>47714.743999999999</v>
      </c>
      <c r="D58" s="11"/>
      <c r="E58">
        <f>+(C58-C$7)/C$8</f>
        <v>6937.9928442917608</v>
      </c>
      <c r="F58">
        <f>ROUND(2*E58,0)/2</f>
        <v>6938</v>
      </c>
      <c r="G58">
        <f>+C58-(C$7+F58*C$8)</f>
        <v>-1.4764400002604816E-2</v>
      </c>
      <c r="I58">
        <f>+G58</f>
        <v>-1.4764400002604816E-2</v>
      </c>
      <c r="O58">
        <f ca="1">+C$11+C$12*$F58</f>
        <v>-1.9822663353068937E-3</v>
      </c>
      <c r="Q58" s="2">
        <f>+C58-15018.5</f>
        <v>32696.243999999999</v>
      </c>
      <c r="AB58" t="s">
        <v>32</v>
      </c>
      <c r="AC58">
        <v>11</v>
      </c>
      <c r="AE58" t="s">
        <v>47</v>
      </c>
      <c r="AG58" t="s">
        <v>38</v>
      </c>
    </row>
    <row r="59" spans="1:33" x14ac:dyDescent="0.2">
      <c r="A59" s="30" t="s">
        <v>37</v>
      </c>
      <c r="B59" s="30"/>
      <c r="C59" s="31">
        <v>48133.601000000002</v>
      </c>
      <c r="D59" s="31"/>
      <c r="E59" s="30">
        <f>+(C59-C$7)/C$8</f>
        <v>7140.9959115085248</v>
      </c>
      <c r="F59">
        <f>ROUND(2*E59,0)/2</f>
        <v>7141</v>
      </c>
      <c r="G59">
        <f>+C59-(C$7+F59*C$8)</f>
        <v>-8.4357999949133955E-3</v>
      </c>
      <c r="I59">
        <f>+G59</f>
        <v>-8.4357999949133955E-3</v>
      </c>
      <c r="O59">
        <f ca="1">+C$11+C$12*$F59</f>
        <v>-1.9691818413736912E-3</v>
      </c>
      <c r="Q59" s="2">
        <f>+C59-15018.5</f>
        <v>33115.101000000002</v>
      </c>
      <c r="AB59" t="s">
        <v>32</v>
      </c>
      <c r="AC59">
        <v>12</v>
      </c>
      <c r="AE59" t="s">
        <v>39</v>
      </c>
      <c r="AG59" t="s">
        <v>38</v>
      </c>
    </row>
    <row r="60" spans="1:33" x14ac:dyDescent="0.2">
      <c r="A60" s="30" t="s">
        <v>50</v>
      </c>
      <c r="B60" s="30"/>
      <c r="C60" s="31">
        <v>48839.25</v>
      </c>
      <c r="D60" s="31">
        <v>0.01</v>
      </c>
      <c r="E60" s="30">
        <f>+(C60-C$7)/C$8</f>
        <v>7482.9954755087447</v>
      </c>
      <c r="F60">
        <f>ROUND(2*E60,0)/2</f>
        <v>7483</v>
      </c>
      <c r="G60">
        <f>+C60-(C$7+F60*C$8)</f>
        <v>-9.3353999982355163E-3</v>
      </c>
      <c r="I60">
        <f>+G60</f>
        <v>-9.3353999982355163E-3</v>
      </c>
      <c r="O60">
        <f ca="1">+C$11+C$12*$F60</f>
        <v>-1.9471380141561781E-3</v>
      </c>
      <c r="Q60" s="2">
        <f>+C60-15018.5</f>
        <v>33820.75</v>
      </c>
      <c r="AA60" t="s">
        <v>49</v>
      </c>
      <c r="AB60" t="s">
        <v>32</v>
      </c>
      <c r="AC60">
        <v>42</v>
      </c>
      <c r="AE60" t="s">
        <v>43</v>
      </c>
      <c r="AG60" t="s">
        <v>45</v>
      </c>
    </row>
    <row r="61" spans="1:33" x14ac:dyDescent="0.2">
      <c r="A61" s="31" t="s">
        <v>63</v>
      </c>
      <c r="B61" s="35"/>
      <c r="C61" s="31">
        <v>49889.483999999997</v>
      </c>
      <c r="D61" s="34" t="s">
        <v>64</v>
      </c>
      <c r="E61" s="30">
        <f>+(C61-C$7)/C$8</f>
        <v>7992.0014687124585</v>
      </c>
      <c r="F61">
        <f>ROUND(2*E61,0)/2</f>
        <v>7992</v>
      </c>
      <c r="O61">
        <f ca="1">+C$11+C$12*$F61</f>
        <v>-1.914330095870464E-3</v>
      </c>
      <c r="Q61" s="2">
        <f>+C61-15018.5</f>
        <v>34870.983999999997</v>
      </c>
      <c r="U61" s="27">
        <v>3.0303999956231564E-3</v>
      </c>
    </row>
    <row r="62" spans="1:33" x14ac:dyDescent="0.2">
      <c r="A62" s="36" t="s">
        <v>65</v>
      </c>
      <c r="B62" s="37" t="s">
        <v>53</v>
      </c>
      <c r="C62" s="36">
        <v>51649.475030000001</v>
      </c>
      <c r="D62" s="36">
        <v>2.3999999999999998E-3</v>
      </c>
      <c r="E62" s="30">
        <f>+(C62-C$7)/C$8</f>
        <v>8844.9980221041624</v>
      </c>
      <c r="F62">
        <f>ROUND(2*E62,0)/2</f>
        <v>8845</v>
      </c>
      <c r="G62">
        <f>+C62-(C$7+F62*C$8)</f>
        <v>-4.080999999132473E-3</v>
      </c>
      <c r="K62">
        <f>+G62</f>
        <v>-4.080999999132473E-3</v>
      </c>
      <c r="O62">
        <f ca="1">+C$11+C$12*$F62</f>
        <v>-1.8593494390969586E-3</v>
      </c>
      <c r="Q62" s="2">
        <f>+C62-15018.5</f>
        <v>36630.975030000001</v>
      </c>
    </row>
    <row r="63" spans="1:33" x14ac:dyDescent="0.2">
      <c r="A63" s="53" t="s">
        <v>238</v>
      </c>
      <c r="B63" s="55" t="s">
        <v>53</v>
      </c>
      <c r="C63" s="54">
        <v>51715.512999999999</v>
      </c>
      <c r="D63" s="11"/>
      <c r="E63" s="30">
        <f>+(C63-C$7)/C$8</f>
        <v>8877.003958408839</v>
      </c>
      <c r="F63">
        <f>ROUND(2*E63,0)/2</f>
        <v>8877</v>
      </c>
      <c r="G63">
        <f>+C63-(C$7+F63*C$8)</f>
        <v>8.1674000030034222E-3</v>
      </c>
      <c r="I63">
        <f>+G63</f>
        <v>8.1674000030034222E-3</v>
      </c>
      <c r="O63">
        <f ca="1">+C$11+C$12*$F63</f>
        <v>-1.8572868587725128E-3</v>
      </c>
      <c r="Q63" s="2">
        <f>+C63-15018.5</f>
        <v>36697.012999999999</v>
      </c>
    </row>
    <row r="64" spans="1:33" x14ac:dyDescent="0.2">
      <c r="A64" s="53" t="s">
        <v>242</v>
      </c>
      <c r="B64" s="55" t="s">
        <v>53</v>
      </c>
      <c r="C64" s="54">
        <v>51787.713000000003</v>
      </c>
      <c r="D64" s="11"/>
      <c r="E64" s="30">
        <f>+(C64-C$7)/C$8</f>
        <v>8911.9963817252719</v>
      </c>
      <c r="F64">
        <f>ROUND(2*E64,0)/2</f>
        <v>8912</v>
      </c>
      <c r="G64">
        <f>+C64-(C$7+F64*C$8)</f>
        <v>-7.4655999924289063E-3</v>
      </c>
      <c r="K64">
        <f>+G64</f>
        <v>-7.4655999924289063E-3</v>
      </c>
      <c r="O64">
        <f ca="1">+C$11+C$12*$F64</f>
        <v>-1.8550309115426505E-3</v>
      </c>
      <c r="Q64" s="2">
        <f>+C64-15018.5</f>
        <v>36769.213000000003</v>
      </c>
    </row>
    <row r="65" spans="1:17" x14ac:dyDescent="0.2">
      <c r="A65" s="53" t="s">
        <v>242</v>
      </c>
      <c r="B65" s="55" t="s">
        <v>53</v>
      </c>
      <c r="C65" s="54">
        <v>52501.620300000002</v>
      </c>
      <c r="D65" s="11"/>
      <c r="E65" s="30">
        <f>+(C65-C$7)/C$8</f>
        <v>9257.9984101226401</v>
      </c>
      <c r="F65">
        <f>ROUND(2*E65,0)/2</f>
        <v>9258</v>
      </c>
      <c r="G65">
        <f>+C65-(C$7+F65*C$8)</f>
        <v>-3.2804000002215616E-3</v>
      </c>
      <c r="K65">
        <f>+G65</f>
        <v>-3.2804000002215616E-3</v>
      </c>
      <c r="O65">
        <f ca="1">+C$11+C$12*$F65</f>
        <v>-1.8327292617845814E-3</v>
      </c>
      <c r="Q65" s="2">
        <f>+C65-15018.5</f>
        <v>37483.120300000002</v>
      </c>
    </row>
    <row r="66" spans="1:17" x14ac:dyDescent="0.2">
      <c r="A66" s="32" t="s">
        <v>52</v>
      </c>
      <c r="B66" s="33" t="s">
        <v>53</v>
      </c>
      <c r="C66" s="31">
        <v>53095.845000000001</v>
      </c>
      <c r="D66" s="34">
        <v>3.0000000000000001E-3</v>
      </c>
      <c r="E66" s="30">
        <f>+(C66-C$7)/C$8</f>
        <v>9545.9951171514349</v>
      </c>
      <c r="F66">
        <f>ROUND(2*E66,0)/2</f>
        <v>9546</v>
      </c>
      <c r="G66">
        <f>+C66-(C$7+F66*C$8)</f>
        <v>-1.0074799996800721E-2</v>
      </c>
      <c r="K66">
        <f>+G66</f>
        <v>-1.0074799996800721E-2</v>
      </c>
      <c r="O66">
        <f ca="1">+C$11+C$12*$F66</f>
        <v>-1.8141660388645703E-3</v>
      </c>
      <c r="Q66" s="2">
        <f>+C66-15018.5</f>
        <v>38077.345000000001</v>
      </c>
    </row>
    <row r="67" spans="1:17" x14ac:dyDescent="0.2">
      <c r="A67" s="32" t="s">
        <v>52</v>
      </c>
      <c r="B67" s="33" t="s">
        <v>53</v>
      </c>
      <c r="C67" s="31">
        <v>53097.914299999997</v>
      </c>
      <c r="D67" s="34">
        <v>6.9999999999999999E-4</v>
      </c>
      <c r="E67" s="30">
        <f>+(C67-C$7)/C$8</f>
        <v>9546.9980232673424</v>
      </c>
      <c r="F67">
        <f>ROUND(2*E67,0)/2</f>
        <v>9547</v>
      </c>
      <c r="G67">
        <f>+C67-(C$7+F67*C$8)</f>
        <v>-4.0786000026855618E-3</v>
      </c>
      <c r="K67">
        <f>+G67</f>
        <v>-4.0786000026855618E-3</v>
      </c>
      <c r="O67">
        <f ca="1">+C$11+C$12*$F67</f>
        <v>-1.8141015832294316E-3</v>
      </c>
      <c r="Q67" s="2">
        <f>+C67-15018.5</f>
        <v>38079.414299999997</v>
      </c>
    </row>
    <row r="68" spans="1:17" x14ac:dyDescent="0.2">
      <c r="A68" s="32" t="s">
        <v>69</v>
      </c>
      <c r="B68" s="38" t="s">
        <v>53</v>
      </c>
      <c r="C68" s="32">
        <v>53456.92931</v>
      </c>
      <c r="D68" s="32">
        <v>1.3999999999999999E-4</v>
      </c>
      <c r="E68" s="30">
        <f>+(C68-C$7)/C$8</f>
        <v>9720.9980953846934</v>
      </c>
      <c r="F68">
        <f>ROUND(2*E68,0)/2</f>
        <v>9721</v>
      </c>
      <c r="G68">
        <f>+C68-(C$7+F68*C$8)</f>
        <v>-3.9297999974223785E-3</v>
      </c>
      <c r="K68">
        <f>+G68</f>
        <v>-3.9297999974223785E-3</v>
      </c>
      <c r="O68">
        <f ca="1">+C$11+C$12*$F68</f>
        <v>-1.8028863027152579E-3</v>
      </c>
      <c r="Q68" s="2">
        <f>+C68-15018.5</f>
        <v>38438.42931</v>
      </c>
    </row>
    <row r="69" spans="1:17" x14ac:dyDescent="0.2">
      <c r="A69" s="32" t="s">
        <v>69</v>
      </c>
      <c r="B69" s="38" t="s">
        <v>53</v>
      </c>
      <c r="C69" s="32">
        <v>53545.655200000001</v>
      </c>
      <c r="D69" s="32">
        <v>4.0000000000000002E-4</v>
      </c>
      <c r="E69" s="30">
        <f>+(C69-C$7)/C$8</f>
        <v>9763.9999499831301</v>
      </c>
      <c r="F69">
        <f>ROUND(2*E69,0)/2</f>
        <v>9764</v>
      </c>
      <c r="G69">
        <f>+C69-(C$7+F69*C$8)</f>
        <v>-1.0320000001229346E-4</v>
      </c>
      <c r="K69">
        <f>+G69</f>
        <v>-1.0320000001229346E-4</v>
      </c>
      <c r="O69">
        <f ca="1">+C$11+C$12*$F69</f>
        <v>-1.8001147104042842E-3</v>
      </c>
      <c r="Q69" s="2">
        <f>+C69-15018.5</f>
        <v>38527.155200000001</v>
      </c>
    </row>
    <row r="70" spans="1:17" x14ac:dyDescent="0.2">
      <c r="A70" s="32" t="s">
        <v>68</v>
      </c>
      <c r="B70" s="38" t="s">
        <v>53</v>
      </c>
      <c r="C70" s="32">
        <v>53547.715799999998</v>
      </c>
      <c r="D70" s="32">
        <v>6.9999999999999999E-4</v>
      </c>
      <c r="E70" s="30">
        <f>+(C70-C$7)/C$8</f>
        <v>9764.9986395604938</v>
      </c>
      <c r="F70">
        <f>ROUND(2*E70,0)/2</f>
        <v>9765</v>
      </c>
      <c r="G70">
        <f>+C70-(C$7+F70*C$8)</f>
        <v>-2.8070000043953769E-3</v>
      </c>
      <c r="K70">
        <f>+G70</f>
        <v>-2.8070000043953769E-3</v>
      </c>
      <c r="O70">
        <f ca="1">+C$11+C$12*$F70</f>
        <v>-1.8000502547691451E-3</v>
      </c>
      <c r="Q70" s="2">
        <f>+C70-15018.5</f>
        <v>38529.215799999998</v>
      </c>
    </row>
    <row r="71" spans="1:17" x14ac:dyDescent="0.2">
      <c r="A71" s="53" t="s">
        <v>242</v>
      </c>
      <c r="B71" s="55" t="s">
        <v>53</v>
      </c>
      <c r="C71" s="54">
        <v>54232.734499999999</v>
      </c>
      <c r="D71" s="11"/>
      <c r="E71" s="30">
        <f>+(C71-C$7)/C$8</f>
        <v>10096.999530558709</v>
      </c>
      <c r="F71">
        <f>ROUND(2*E71,0)/2</f>
        <v>10097</v>
      </c>
      <c r="G71">
        <f>+C71-(C$7+F71*C$8)</f>
        <v>-9.6860000485321507E-4</v>
      </c>
      <c r="K71">
        <f>+G71</f>
        <v>-9.6860000485321507E-4</v>
      </c>
      <c r="O71">
        <f ca="1">+C$11+C$12*$F71</f>
        <v>-1.7786509839030212E-3</v>
      </c>
      <c r="Q71" s="2">
        <f>+C71-15018.5</f>
        <v>39214.234499999999</v>
      </c>
    </row>
    <row r="72" spans="1:17" x14ac:dyDescent="0.2">
      <c r="A72" s="53" t="s">
        <v>242</v>
      </c>
      <c r="B72" s="55" t="s">
        <v>53</v>
      </c>
      <c r="C72" s="54">
        <v>54265.7451</v>
      </c>
      <c r="D72" s="11"/>
      <c r="E72" s="30">
        <f>+(C72-C$7)/C$8</f>
        <v>10112.99843484028</v>
      </c>
      <c r="F72">
        <f>ROUND(2*E72,0)/2</f>
        <v>10113</v>
      </c>
      <c r="G72">
        <f>+C72-(C$7+F72*C$8)</f>
        <v>-3.2293999975081533E-3</v>
      </c>
      <c r="K72">
        <f>+G72</f>
        <v>-3.2293999975081533E-3</v>
      </c>
      <c r="O72">
        <f ca="1">+C$11+C$12*$F72</f>
        <v>-1.7776196937407983E-3</v>
      </c>
      <c r="Q72" s="2">
        <f>+C72-15018.5</f>
        <v>39247.2451</v>
      </c>
    </row>
    <row r="73" spans="1:17" x14ac:dyDescent="0.2">
      <c r="A73" s="39" t="s">
        <v>70</v>
      </c>
      <c r="B73" s="35" t="s">
        <v>53</v>
      </c>
      <c r="C73" s="31">
        <v>54653.647599999997</v>
      </c>
      <c r="D73" s="31">
        <v>2.9999999999999997E-4</v>
      </c>
      <c r="E73" s="30">
        <f>+(C73-C$7)/C$8</f>
        <v>10300.999106384623</v>
      </c>
      <c r="F73">
        <f>ROUND(2*E73,0)/2</f>
        <v>10301</v>
      </c>
      <c r="G73">
        <f>+C73-(C$7+F73*C$8)</f>
        <v>-1.8438000042806379E-3</v>
      </c>
      <c r="K73">
        <f>+G73</f>
        <v>-1.8438000042806379E-3</v>
      </c>
      <c r="O73">
        <f ca="1">+C$11+C$12*$F73</f>
        <v>-1.76550203433468E-3</v>
      </c>
      <c r="Q73" s="2">
        <f>+C73-15018.5</f>
        <v>39635.147599999997</v>
      </c>
    </row>
    <row r="74" spans="1:17" x14ac:dyDescent="0.2">
      <c r="A74" s="31" t="s">
        <v>62</v>
      </c>
      <c r="B74" s="35" t="s">
        <v>53</v>
      </c>
      <c r="C74" s="31">
        <v>54983.7785</v>
      </c>
      <c r="D74" s="31">
        <v>2.9999999999999997E-4</v>
      </c>
      <c r="E74" s="30">
        <f>+(C74-C$7)/C$8</f>
        <v>10461.000217224435</v>
      </c>
      <c r="F74">
        <f>ROUND(2*E74,0)/2</f>
        <v>10461</v>
      </c>
      <c r="G74">
        <f>+C74-(C$7+F74*C$8)</f>
        <v>4.4820000039180741E-4</v>
      </c>
      <c r="K74">
        <f>+G74</f>
        <v>4.4820000039180741E-4</v>
      </c>
      <c r="O74">
        <f ca="1">+C$11+C$12*$F74</f>
        <v>-1.7551891327124516E-3</v>
      </c>
      <c r="Q74" s="2">
        <f>+C74-15018.5</f>
        <v>39965.2785</v>
      </c>
    </row>
    <row r="75" spans="1:17" x14ac:dyDescent="0.2">
      <c r="A75" s="53" t="s">
        <v>288</v>
      </c>
      <c r="B75" s="55" t="s">
        <v>53</v>
      </c>
      <c r="C75" s="54">
        <v>55672.916700000002</v>
      </c>
      <c r="D75" s="11"/>
      <c r="E75" s="30">
        <f>+(C75-C$7)/C$8</f>
        <v>10794.997663456055</v>
      </c>
      <c r="F75">
        <f>ROUND(2*E75,0)/2</f>
        <v>10795</v>
      </c>
      <c r="G75">
        <f>+C75-(C$7+F75*C$8)</f>
        <v>-4.8209999949904159E-3</v>
      </c>
      <c r="K75">
        <f>+G75</f>
        <v>-4.8209999949904159E-3</v>
      </c>
      <c r="O75">
        <f ca="1">+C$11+C$12*$F75</f>
        <v>-1.7336609505760499E-3</v>
      </c>
      <c r="Q75" s="2">
        <f>+C75-15018.5</f>
        <v>40654.416700000002</v>
      </c>
    </row>
    <row r="76" spans="1:17" x14ac:dyDescent="0.2">
      <c r="A76" s="57" t="s">
        <v>71</v>
      </c>
      <c r="B76" s="58" t="s">
        <v>53</v>
      </c>
      <c r="C76" s="59">
        <v>56481.734499999999</v>
      </c>
      <c r="D76" s="59">
        <v>4.0000000000000002E-4</v>
      </c>
      <c r="E76" s="30">
        <f>+(C76-C$7)/C$8</f>
        <v>11186.998977077443</v>
      </c>
      <c r="F76">
        <f>ROUND(2*E76,0)/2</f>
        <v>11187</v>
      </c>
      <c r="G76">
        <f>+C76-(C$7+F76*C$8)</f>
        <v>-2.1105999985593371E-3</v>
      </c>
      <c r="K76">
        <f>+G76</f>
        <v>-2.1105999985593371E-3</v>
      </c>
      <c r="O76">
        <f ca="1">+C$11+C$12*$F76</f>
        <v>-1.7083943416015901E-3</v>
      </c>
      <c r="Q76" s="2">
        <f>+C76-15018.5</f>
        <v>41463.234499999999</v>
      </c>
    </row>
    <row r="77" spans="1:17" x14ac:dyDescent="0.2">
      <c r="A77" s="60" t="s">
        <v>2</v>
      </c>
      <c r="B77" s="61" t="s">
        <v>53</v>
      </c>
      <c r="C77" s="62">
        <v>57197.700299999997</v>
      </c>
      <c r="D77" s="62">
        <v>1E-4</v>
      </c>
      <c r="E77" s="30">
        <f>+(C77-C$7)/C$8</f>
        <v>11533.998677267011</v>
      </c>
      <c r="F77">
        <f>ROUND(2*E77,0)/2</f>
        <v>11534</v>
      </c>
      <c r="G77">
        <f>+C77-(C$7+F77*C$8)</f>
        <v>-2.7292000013403594E-3</v>
      </c>
      <c r="K77">
        <f>+G77</f>
        <v>-2.7292000013403594E-3</v>
      </c>
      <c r="O77">
        <f ca="1">+C$11+C$12*$F77</f>
        <v>-1.6860282362083823E-3</v>
      </c>
      <c r="Q77" s="2">
        <f>+C77-15018.5</f>
        <v>42179.200299999997</v>
      </c>
    </row>
    <row r="78" spans="1:17" x14ac:dyDescent="0.2">
      <c r="A78" s="60" t="s">
        <v>3</v>
      </c>
      <c r="B78" s="61" t="s">
        <v>53</v>
      </c>
      <c r="C78" s="62">
        <v>57527.83</v>
      </c>
      <c r="D78" s="62">
        <v>2.0000000000000001E-4</v>
      </c>
      <c r="E78" s="30">
        <f>+(C78-C$7)/C$8</f>
        <v>11693.9992065153</v>
      </c>
      <c r="F78">
        <f>ROUND(2*E78,0)/2</f>
        <v>11694</v>
      </c>
      <c r="G78">
        <f>+C78-(C$7+F78*C$8)</f>
        <v>-1.6371999954571947E-3</v>
      </c>
      <c r="K78">
        <f>+G78</f>
        <v>-1.6371999954571947E-3</v>
      </c>
      <c r="O78">
        <f ca="1">+C$11+C$12*$F78</f>
        <v>-1.6757153345861539E-3</v>
      </c>
      <c r="Q78" s="2">
        <f>+C78-15018.5</f>
        <v>42509.33</v>
      </c>
    </row>
    <row r="79" spans="1:17" x14ac:dyDescent="0.2">
      <c r="A79" s="63" t="s">
        <v>0</v>
      </c>
      <c r="B79" s="64" t="s">
        <v>53</v>
      </c>
      <c r="C79" s="65">
        <v>57946.678999999996</v>
      </c>
      <c r="D79" s="65">
        <v>0.01</v>
      </c>
      <c r="E79" s="30">
        <f>+(C79-C$7)/C$8</f>
        <v>11896.998396455238</v>
      </c>
      <c r="F79">
        <f>ROUND(2*E79,0)/2</f>
        <v>11897</v>
      </c>
      <c r="G79">
        <f>+C79-(C$7+F79*C$8)</f>
        <v>-3.3086000039475039E-3</v>
      </c>
      <c r="K79">
        <f>+G79</f>
        <v>-3.3086000039475039E-3</v>
      </c>
      <c r="O79">
        <f ca="1">+C$11+C$12*$F79</f>
        <v>-1.6626308406529513E-3</v>
      </c>
      <c r="Q79" s="2">
        <f>+C79-15018.5</f>
        <v>42928.178999999996</v>
      </c>
    </row>
    <row r="80" spans="1:17" x14ac:dyDescent="0.2">
      <c r="A80" s="63" t="s">
        <v>0</v>
      </c>
      <c r="B80" s="64" t="s">
        <v>1</v>
      </c>
      <c r="C80" s="65">
        <v>58188.088000000003</v>
      </c>
      <c r="D80" s="65">
        <v>0.01</v>
      </c>
      <c r="E80" s="30">
        <f>+(C80-C$7)/C$8</f>
        <v>12013.999586488429</v>
      </c>
      <c r="F80">
        <f>ROUND(2*E80,0)/2</f>
        <v>12014</v>
      </c>
      <c r="G80">
        <f>+C80-(C$7+F80*C$8)</f>
        <v>-8.5319999197963625E-4</v>
      </c>
      <c r="K80">
        <f>+G80</f>
        <v>-8.5319999197963625E-4</v>
      </c>
      <c r="O80">
        <f ca="1">+C$11+C$12*$F80</f>
        <v>-1.655089531341697E-3</v>
      </c>
      <c r="Q80" s="2">
        <f>+C80-15018.5</f>
        <v>43169.588000000003</v>
      </c>
    </row>
    <row r="81" spans="1:17" x14ac:dyDescent="0.2">
      <c r="A81" s="66" t="s">
        <v>294</v>
      </c>
      <c r="B81" s="58" t="s">
        <v>53</v>
      </c>
      <c r="C81" s="59">
        <v>58305.693399999996</v>
      </c>
      <c r="D81" s="59">
        <v>2.0000000000000001E-4</v>
      </c>
      <c r="E81" s="30">
        <f>+(C81-C$7)/C$8</f>
        <v>12070.998172930229</v>
      </c>
      <c r="F81">
        <f>ROUND(2*E81,0)/2</f>
        <v>12071</v>
      </c>
      <c r="G81">
        <f>+C81-(C$7+F81*C$8)</f>
        <v>-3.7698000014643185E-3</v>
      </c>
      <c r="K81">
        <f>+G81</f>
        <v>-3.7698000014643185E-3</v>
      </c>
      <c r="O81">
        <f ca="1">+C$11+C$12*$F81</f>
        <v>-1.6514155601387781E-3</v>
      </c>
      <c r="Q81" s="2">
        <f>+C81-15018.5</f>
        <v>43287.193399999996</v>
      </c>
    </row>
    <row r="82" spans="1:17" x14ac:dyDescent="0.2">
      <c r="A82" s="66" t="s">
        <v>295</v>
      </c>
      <c r="B82" s="58" t="s">
        <v>53</v>
      </c>
      <c r="C82" s="59">
        <v>58656.458500000001</v>
      </c>
      <c r="D82" s="59">
        <v>1E-4</v>
      </c>
      <c r="E82" s="30">
        <f>+(C82-C$7)/C$8</f>
        <v>12240.999846944498</v>
      </c>
      <c r="F82">
        <f>ROUND(2*E82,0)/2</f>
        <v>12241</v>
      </c>
      <c r="G82">
        <f>+C82-(C$7+F82*C$8)</f>
        <v>-3.1579999631503597E-4</v>
      </c>
      <c r="K82">
        <f>+G82</f>
        <v>-3.1579999631503597E-4</v>
      </c>
      <c r="O82">
        <f ca="1">+C$11+C$12*$F82</f>
        <v>-1.6404581021651605E-3</v>
      </c>
      <c r="Q82" s="2">
        <f>+C82-15018.5</f>
        <v>43637.958500000001</v>
      </c>
    </row>
    <row r="83" spans="1:17" x14ac:dyDescent="0.2">
      <c r="A83" s="66" t="s">
        <v>295</v>
      </c>
      <c r="B83" s="58" t="s">
        <v>53</v>
      </c>
      <c r="C83" s="59">
        <v>58664.710599999999</v>
      </c>
      <c r="D83" s="59">
        <v>2.0000000000000001E-4</v>
      </c>
      <c r="E83" s="30">
        <f>+(C83-C$7)/C$8</f>
        <v>12244.999306452108</v>
      </c>
      <c r="F83">
        <f>ROUND(2*E83,0)/2</f>
        <v>12245</v>
      </c>
      <c r="G83">
        <f>+C83-(C$7+F83*C$8)</f>
        <v>-1.4310000042314641E-3</v>
      </c>
      <c r="K83">
        <f>+G83</f>
        <v>-1.4310000042314641E-3</v>
      </c>
      <c r="O83">
        <f ca="1">+C$11+C$12*$F83</f>
        <v>-1.6402002796246048E-3</v>
      </c>
      <c r="Q83" s="2">
        <f>+C83-15018.5</f>
        <v>43646.210599999999</v>
      </c>
    </row>
    <row r="84" spans="1:17" x14ac:dyDescent="0.2">
      <c r="A84" s="67" t="s">
        <v>296</v>
      </c>
      <c r="B84" s="68" t="s">
        <v>53</v>
      </c>
      <c r="C84" s="62">
        <v>59046.421699999999</v>
      </c>
      <c r="D84" s="62">
        <v>2.0000000000000001E-4</v>
      </c>
      <c r="E84" s="30">
        <f>+(C84-C$7)/C$8</f>
        <v>12429.99925653217</v>
      </c>
      <c r="F84">
        <f>ROUND(2*E84,0)/2</f>
        <v>12430</v>
      </c>
      <c r="G84">
        <f>+C84-(C$7+F84*C$8)</f>
        <v>-1.5340000027208589E-3</v>
      </c>
      <c r="K84">
        <f>+G84</f>
        <v>-1.5340000027208589E-3</v>
      </c>
      <c r="O84">
        <f ca="1">+C$11+C$12*$F84</f>
        <v>-1.628275987123903E-3</v>
      </c>
      <c r="Q84" s="2">
        <f>+C84-15018.5</f>
        <v>44027.921699999999</v>
      </c>
    </row>
    <row r="85" spans="1:17" x14ac:dyDescent="0.2">
      <c r="A85" s="67" t="s">
        <v>296</v>
      </c>
      <c r="B85" s="68" t="s">
        <v>53</v>
      </c>
      <c r="C85" s="62">
        <v>59054.674200000001</v>
      </c>
      <c r="D85" s="62">
        <v>2.0000000000000001E-4</v>
      </c>
      <c r="E85" s="30">
        <f>+(C85-C$7)/C$8</f>
        <v>12433.998909903623</v>
      </c>
      <c r="F85">
        <f>ROUND(2*E85,0)/2</f>
        <v>12434</v>
      </c>
      <c r="G85">
        <f>+C85-(C$7+F85*C$8)</f>
        <v>-2.2491999989142641E-3</v>
      </c>
      <c r="K85">
        <f>+G85</f>
        <v>-2.2491999989142641E-3</v>
      </c>
      <c r="O85">
        <f ca="1">+C$11+C$12*$F85</f>
        <v>-1.6280181645833473E-3</v>
      </c>
      <c r="Q85" s="2">
        <f>+C85-15018.5</f>
        <v>44036.174200000001</v>
      </c>
    </row>
    <row r="86" spans="1:17" ht="12" customHeight="1" x14ac:dyDescent="0.2">
      <c r="A86" s="71" t="s">
        <v>297</v>
      </c>
      <c r="B86" s="69" t="s">
        <v>53</v>
      </c>
      <c r="C86" s="70">
        <v>59374.487999999998</v>
      </c>
      <c r="D86" s="70">
        <v>2.9999999999999997E-4</v>
      </c>
      <c r="E86" s="30">
        <f>+(C86-C$7)/C$8</f>
        <v>12588.999739156201</v>
      </c>
      <c r="F86">
        <f>ROUND(2*E86,0)/2</f>
        <v>12589</v>
      </c>
      <c r="G86">
        <f>+C86-(C$7+F86*C$8)</f>
        <v>-5.3820000175619498E-4</v>
      </c>
      <c r="K86">
        <f>+G86</f>
        <v>-5.3820000175619498E-4</v>
      </c>
      <c r="O86">
        <f ca="1">+C$11+C$12*$F86</f>
        <v>-1.6180275411368135E-3</v>
      </c>
      <c r="Q86" s="2">
        <f>+C86-15018.5</f>
        <v>44355.987999999998</v>
      </c>
    </row>
    <row r="87" spans="1:17" ht="12" customHeight="1" x14ac:dyDescent="0.2">
      <c r="A87" s="71" t="s">
        <v>297</v>
      </c>
      <c r="B87" s="69" t="s">
        <v>53</v>
      </c>
      <c r="C87" s="70">
        <v>59382.740299999998</v>
      </c>
      <c r="D87" s="70">
        <v>2.0000000000000001E-4</v>
      </c>
      <c r="E87" s="30">
        <f>+(C87-C$7)/C$8</f>
        <v>12592.999295595733</v>
      </c>
      <c r="F87">
        <f>ROUND(2*E87,0)/2</f>
        <v>12593</v>
      </c>
      <c r="G87">
        <f>+C87-(C$7+F87*C$8)</f>
        <v>-1.4534000001731329E-3</v>
      </c>
      <c r="K87">
        <f>+G87</f>
        <v>-1.4534000001731329E-3</v>
      </c>
      <c r="O87">
        <f ca="1">+C$11+C$12*$F87</f>
        <v>-1.6177697185962578E-3</v>
      </c>
      <c r="Q87" s="2">
        <f>+C87-15018.5</f>
        <v>44364.240299999998</v>
      </c>
    </row>
    <row r="88" spans="1:17" ht="12" customHeight="1" x14ac:dyDescent="0.2">
      <c r="A88" s="71" t="s">
        <v>297</v>
      </c>
      <c r="B88" s="69" t="s">
        <v>53</v>
      </c>
      <c r="C88" s="70">
        <v>59413.6895</v>
      </c>
      <c r="D88" s="70">
        <v>4.0000000000000002E-4</v>
      </c>
      <c r="E88" s="30">
        <f>+(C88-C$7)/C$8</f>
        <v>12607.999122572255</v>
      </c>
      <c r="F88">
        <f>ROUND(2*E88,0)/2</f>
        <v>12608</v>
      </c>
      <c r="G88">
        <f>+C88-(C$7+F88*C$8)</f>
        <v>-1.8103999973391183E-3</v>
      </c>
      <c r="K88">
        <f>+G88</f>
        <v>-1.8103999973391183E-3</v>
      </c>
      <c r="O88">
        <f ca="1">+C$11+C$12*$F88</f>
        <v>-1.6168028840691739E-3</v>
      </c>
      <c r="Q88" s="2">
        <f>+C88-15018.5</f>
        <v>44395.1895</v>
      </c>
    </row>
    <row r="89" spans="1:17" ht="12" customHeight="1" x14ac:dyDescent="0.2">
      <c r="A89" s="72" t="s">
        <v>298</v>
      </c>
      <c r="B89" s="73" t="s">
        <v>53</v>
      </c>
      <c r="C89" s="74">
        <v>59770.643199999999</v>
      </c>
      <c r="D89" s="72">
        <v>4.0000000000000002E-4</v>
      </c>
      <c r="E89" s="30">
        <f>+(C89-C$7)/C$8</f>
        <v>12781.00016100392</v>
      </c>
      <c r="F89">
        <f>ROUND(2*E89,0)/2</f>
        <v>12781</v>
      </c>
      <c r="G89">
        <f>+C89-(C$7+F89*C$8)</f>
        <v>3.321999975014478E-4</v>
      </c>
      <c r="K89">
        <f>+G89</f>
        <v>3.321999975014478E-4</v>
      </c>
      <c r="O89">
        <f ca="1">+C$11+C$12*$F89</f>
        <v>-1.6056520591901395E-3</v>
      </c>
      <c r="Q89" s="2">
        <f>+C89-15018.5</f>
        <v>44752.143199999999</v>
      </c>
    </row>
    <row r="90" spans="1:17" x14ac:dyDescent="0.2">
      <c r="C90" s="11"/>
      <c r="D90" s="11"/>
    </row>
    <row r="91" spans="1:17" x14ac:dyDescent="0.2">
      <c r="C91" s="11"/>
      <c r="D91" s="11"/>
    </row>
    <row r="92" spans="1:17" x14ac:dyDescent="0.2">
      <c r="C92" s="11"/>
      <c r="D92" s="11"/>
    </row>
    <row r="93" spans="1:17" x14ac:dyDescent="0.2">
      <c r="C93" s="11"/>
      <c r="D93" s="11"/>
    </row>
    <row r="94" spans="1:17" x14ac:dyDescent="0.2">
      <c r="C94" s="11"/>
      <c r="D94" s="11"/>
    </row>
    <row r="95" spans="1:17" x14ac:dyDescent="0.2">
      <c r="C95" s="11"/>
      <c r="D95" s="11"/>
    </row>
    <row r="96" spans="1:17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</sheetData>
  <protectedRanges>
    <protectedRange sqref="A81:D84" name="Range1"/>
    <protectedRange sqref="A85:D87" name="Range1_1"/>
  </protectedRanges>
  <sortState xmlns:xlrd2="http://schemas.microsoft.com/office/spreadsheetml/2017/richdata2" ref="A21:AG89">
    <sortCondition ref="C21:C89"/>
  </sortState>
  <phoneticPr fontId="8" type="noConversion"/>
  <hyperlinks>
    <hyperlink ref="K63005" r:id="rId1" display="http://vsolj.cetus-net.org/bulletin.html"/>
    <hyperlink ref="K62998" r:id="rId2" display="http://vsolj.cetus-net.org/bulletin.html"/>
    <hyperlink ref="AS495" r:id="rId3" display="http://cdsbib.u-strasbg.fr/cgi-bin/cdsbib?1990RMxAA..21..381G"/>
    <hyperlink ref="AS498" r:id="rId4" display="http://cdsbib.u-strasbg.fr/cgi-bin/cdsbib?1990RMxAA..21..381G"/>
    <hyperlink ref="AS496" r:id="rId5" display="http://cdsbib.u-strasbg.fr/cgi-bin/cdsbib?1990RMxAA..21..381G"/>
    <hyperlink ref="AS474" r:id="rId6" display="http://cdsbib.u-strasbg.fr/cgi-bin/cdsbib?1990RMxAA..21..381G"/>
    <hyperlink ref="L63005" r:id="rId7" display="http://vsolj.cetus-net.org/bulletin.html"/>
    <hyperlink ref="AT608" r:id="rId8" display="http://cdsbib.u-strasbg.fr/cgi-bin/cdsbib?1990RMxAA..21..381G"/>
    <hyperlink ref="AT64413" r:id="rId9" display="http://cdsbib.u-strasbg.fr/cgi-bin/cdsbib?1990RMxAA..21..381G"/>
    <hyperlink ref="AT609" r:id="rId10" display="http://cdsbib.u-strasbg.fr/cgi-bin/cdsbib?1990RMxAA..21..381G"/>
    <hyperlink ref="K63002" r:id="rId11" display="https://www.aavso.org/ejaavso"/>
    <hyperlink ref="H63663" r:id="rId12" display="http://vsolj.cetus-net.org/bulletin.html"/>
    <hyperlink ref="H63656" r:id="rId13" display="https://www.aavso.org/ejaavso"/>
    <hyperlink ref="I63663" r:id="rId14" display="http://vsolj.cetus-net.org/bulletin.html"/>
    <hyperlink ref="AQ57314" r:id="rId15" display="http://cdsbib.u-strasbg.fr/cgi-bin/cdsbib?1990RMxAA..21..381G"/>
    <hyperlink ref="H63660" r:id="rId16" display="https://www.aavso.org/ejaavso"/>
    <hyperlink ref="AP4678" r:id="rId17" display="http://cdsbib.u-strasbg.fr/cgi-bin/cdsbib?1990RMxAA..21..381G"/>
    <hyperlink ref="AP4681" r:id="rId18" display="http://cdsbib.u-strasbg.fr/cgi-bin/cdsbib?1990RMxAA..21..381G"/>
    <hyperlink ref="AP4679" r:id="rId19" display="http://cdsbib.u-strasbg.fr/cgi-bin/cdsbib?1990RMxAA..21..381G"/>
    <hyperlink ref="AP4663" r:id="rId20" display="http://cdsbib.u-strasbg.fr/cgi-bin/cdsbib?1990RMxAA..21..381G"/>
    <hyperlink ref="AQ4892" r:id="rId21" display="http://cdsbib.u-strasbg.fr/cgi-bin/cdsbib?1990RMxAA..21..381G"/>
    <hyperlink ref="AQ4896" r:id="rId22" display="http://cdsbib.u-strasbg.fr/cgi-bin/cdsbib?1990RMxAA..21..381G"/>
    <hyperlink ref="AQ64576" r:id="rId23" display="http://cdsbib.u-strasbg.fr/cgi-bin/cdsbib?1990RMxAA..21..381G"/>
    <hyperlink ref="I1784" r:id="rId24" display="http://vsolj.cetus-net.org/bulletin.html"/>
    <hyperlink ref="H1784" r:id="rId25" display="http://vsolj.cetus-net.org/bulletin.html"/>
    <hyperlink ref="AQ65237" r:id="rId26" display="http://cdsbib.u-strasbg.fr/cgi-bin/cdsbib?1990RMxAA..21..381G"/>
    <hyperlink ref="AQ65236" r:id="rId27" display="http://cdsbib.u-strasbg.fr/cgi-bin/cdsbib?1990RMxAA..21..381G"/>
    <hyperlink ref="AP2954" r:id="rId28" display="http://cdsbib.u-strasbg.fr/cgi-bin/cdsbib?1990RMxAA..21..381G"/>
    <hyperlink ref="AP2972" r:id="rId29" display="http://cdsbib.u-strasbg.fr/cgi-bin/cdsbib?1990RMxAA..21..381G"/>
    <hyperlink ref="AP2973" r:id="rId30" display="http://cdsbib.u-strasbg.fr/cgi-bin/cdsbib?1990RMxAA..21..381G"/>
    <hyperlink ref="AP2969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topLeftCell="A25" workbookViewId="0">
      <selection activeCell="A47" sqref="A47:C65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0" t="s">
        <v>72</v>
      </c>
      <c r="I1" s="41" t="s">
        <v>73</v>
      </c>
      <c r="J1" s="42" t="s">
        <v>74</v>
      </c>
    </row>
    <row r="2" spans="1:16" x14ac:dyDescent="0.2">
      <c r="I2" s="43" t="s">
        <v>75</v>
      </c>
      <c r="J2" s="44" t="s">
        <v>76</v>
      </c>
    </row>
    <row r="3" spans="1:16" x14ac:dyDescent="0.2">
      <c r="A3" s="45" t="s">
        <v>77</v>
      </c>
      <c r="I3" s="43" t="s">
        <v>78</v>
      </c>
      <c r="J3" s="44" t="s">
        <v>79</v>
      </c>
    </row>
    <row r="4" spans="1:16" x14ac:dyDescent="0.2">
      <c r="I4" s="43" t="s">
        <v>80</v>
      </c>
      <c r="J4" s="44" t="s">
        <v>79</v>
      </c>
    </row>
    <row r="5" spans="1:16" ht="13.5" thickBot="1" x14ac:dyDescent="0.25">
      <c r="I5" s="46" t="s">
        <v>81</v>
      </c>
      <c r="J5" s="47" t="s">
        <v>64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AAC 5.74 </v>
      </c>
      <c r="B11" s="15" t="str">
        <f t="shared" ref="B11:B42" si="1">IF(H11=INT(H11),"I","II")</f>
        <v>I</v>
      </c>
      <c r="C11" s="10">
        <f t="shared" ref="C11:C42" si="2">1*G11</f>
        <v>33399.557000000001</v>
      </c>
      <c r="D11" s="13" t="str">
        <f t="shared" ref="D11:D42" si="3">VLOOKUP(F11,I$1:J$5,2,FALSE)</f>
        <v>vis</v>
      </c>
      <c r="E11" s="48">
        <f>VLOOKUP(C11,Active!C$21:E$967,3,FALSE)</f>
        <v>0</v>
      </c>
      <c r="F11" s="15" t="s">
        <v>81</v>
      </c>
      <c r="G11" s="13" t="str">
        <f t="shared" ref="G11:G42" si="4">MID(I11,3,LEN(I11)-3)</f>
        <v>33399.557</v>
      </c>
      <c r="H11" s="10">
        <f t="shared" ref="H11:H42" si="5">1*K11</f>
        <v>0</v>
      </c>
      <c r="I11" s="49" t="s">
        <v>128</v>
      </c>
      <c r="J11" s="50" t="s">
        <v>129</v>
      </c>
      <c r="K11" s="49">
        <v>0</v>
      </c>
      <c r="L11" s="49" t="s">
        <v>130</v>
      </c>
      <c r="M11" s="50" t="s">
        <v>87</v>
      </c>
      <c r="N11" s="50"/>
      <c r="O11" s="51" t="s">
        <v>122</v>
      </c>
      <c r="P11" s="51" t="s">
        <v>127</v>
      </c>
    </row>
    <row r="12" spans="1:16" ht="12.75" customHeight="1" thickBot="1" x14ac:dyDescent="0.25">
      <c r="A12" s="10" t="str">
        <f t="shared" si="0"/>
        <v> AVSJ 7.37 </v>
      </c>
      <c r="B12" s="15" t="str">
        <f t="shared" si="1"/>
        <v>I</v>
      </c>
      <c r="C12" s="10">
        <f t="shared" si="2"/>
        <v>42628.709000000003</v>
      </c>
      <c r="D12" s="13" t="str">
        <f t="shared" si="3"/>
        <v>vis</v>
      </c>
      <c r="E12" s="48">
        <f>VLOOKUP(C12,Active!C$21:E$967,3,FALSE)</f>
        <v>4472.9971417684601</v>
      </c>
      <c r="F12" s="15" t="s">
        <v>81</v>
      </c>
      <c r="G12" s="13" t="str">
        <f t="shared" si="4"/>
        <v>42628.709</v>
      </c>
      <c r="H12" s="10">
        <f t="shared" si="5"/>
        <v>4473</v>
      </c>
      <c r="I12" s="49" t="s">
        <v>136</v>
      </c>
      <c r="J12" s="50" t="s">
        <v>137</v>
      </c>
      <c r="K12" s="49">
        <v>4473</v>
      </c>
      <c r="L12" s="49" t="s">
        <v>138</v>
      </c>
      <c r="M12" s="50" t="s">
        <v>87</v>
      </c>
      <c r="N12" s="50"/>
      <c r="O12" s="51" t="s">
        <v>139</v>
      </c>
      <c r="P12" s="51" t="s">
        <v>140</v>
      </c>
    </row>
    <row r="13" spans="1:16" ht="12.75" customHeight="1" thickBot="1" x14ac:dyDescent="0.25">
      <c r="A13" s="10" t="str">
        <f t="shared" si="0"/>
        <v> AVSJ 7.37 </v>
      </c>
      <c r="B13" s="15" t="str">
        <f t="shared" si="1"/>
        <v>I</v>
      </c>
      <c r="C13" s="10">
        <f t="shared" si="2"/>
        <v>42659.692999999999</v>
      </c>
      <c r="D13" s="13" t="str">
        <f t="shared" si="3"/>
        <v>vis</v>
      </c>
      <c r="E13" s="48">
        <f>VLOOKUP(C13,Active!C$21:E$967,3,FALSE)</f>
        <v>4488.013834899155</v>
      </c>
      <c r="F13" s="15" t="s">
        <v>81</v>
      </c>
      <c r="G13" s="13" t="str">
        <f t="shared" si="4"/>
        <v>42659.693</v>
      </c>
      <c r="H13" s="10">
        <f t="shared" si="5"/>
        <v>4488</v>
      </c>
      <c r="I13" s="49" t="s">
        <v>141</v>
      </c>
      <c r="J13" s="50" t="s">
        <v>142</v>
      </c>
      <c r="K13" s="49">
        <v>4488</v>
      </c>
      <c r="L13" s="49" t="s">
        <v>143</v>
      </c>
      <c r="M13" s="50" t="s">
        <v>87</v>
      </c>
      <c r="N13" s="50"/>
      <c r="O13" s="51" t="s">
        <v>144</v>
      </c>
      <c r="P13" s="51" t="s">
        <v>140</v>
      </c>
    </row>
    <row r="14" spans="1:16" ht="12.75" customHeight="1" thickBot="1" x14ac:dyDescent="0.25">
      <c r="A14" s="10" t="str">
        <f t="shared" si="0"/>
        <v> AOEB 4 </v>
      </c>
      <c r="B14" s="15" t="str">
        <f t="shared" si="1"/>
        <v>I</v>
      </c>
      <c r="C14" s="10">
        <f t="shared" si="2"/>
        <v>42921.701999999997</v>
      </c>
      <c r="D14" s="13" t="str">
        <f t="shared" si="3"/>
        <v>vis</v>
      </c>
      <c r="E14" s="48">
        <f>VLOOKUP(C14,Active!C$21:E$967,3,FALSE)</f>
        <v>4614.9990127483879</v>
      </c>
      <c r="F14" s="15" t="s">
        <v>81</v>
      </c>
      <c r="G14" s="13" t="str">
        <f t="shared" si="4"/>
        <v>42921.702</v>
      </c>
      <c r="H14" s="10">
        <f t="shared" si="5"/>
        <v>4615</v>
      </c>
      <c r="I14" s="49" t="s">
        <v>145</v>
      </c>
      <c r="J14" s="50" t="s">
        <v>146</v>
      </c>
      <c r="K14" s="49">
        <v>4615</v>
      </c>
      <c r="L14" s="49" t="s">
        <v>147</v>
      </c>
      <c r="M14" s="50" t="s">
        <v>87</v>
      </c>
      <c r="N14" s="50"/>
      <c r="O14" s="51" t="s">
        <v>148</v>
      </c>
      <c r="P14" s="51" t="s">
        <v>149</v>
      </c>
    </row>
    <row r="15" spans="1:16" ht="12.75" customHeight="1" thickBot="1" x14ac:dyDescent="0.25">
      <c r="A15" s="10" t="str">
        <f t="shared" si="0"/>
        <v> AOEB 4 </v>
      </c>
      <c r="B15" s="15" t="str">
        <f t="shared" si="1"/>
        <v>I</v>
      </c>
      <c r="C15" s="10">
        <f t="shared" si="2"/>
        <v>42923.767999999996</v>
      </c>
      <c r="D15" s="13" t="str">
        <f t="shared" si="3"/>
        <v>vis</v>
      </c>
      <c r="E15" s="48">
        <f>VLOOKUP(C15,Active!C$21:E$967,3,FALSE)</f>
        <v>4616.0003194876081</v>
      </c>
      <c r="F15" s="15" t="s">
        <v>81</v>
      </c>
      <c r="G15" s="13" t="str">
        <f t="shared" si="4"/>
        <v>42923.768</v>
      </c>
      <c r="H15" s="10">
        <f t="shared" si="5"/>
        <v>4616</v>
      </c>
      <c r="I15" s="49" t="s">
        <v>150</v>
      </c>
      <c r="J15" s="50" t="s">
        <v>151</v>
      </c>
      <c r="K15" s="49">
        <v>4616</v>
      </c>
      <c r="L15" s="49" t="s">
        <v>152</v>
      </c>
      <c r="M15" s="50" t="s">
        <v>87</v>
      </c>
      <c r="N15" s="50"/>
      <c r="O15" s="51" t="s">
        <v>153</v>
      </c>
      <c r="P15" s="51" t="s">
        <v>149</v>
      </c>
    </row>
    <row r="16" spans="1:16" ht="12.75" customHeight="1" thickBot="1" x14ac:dyDescent="0.25">
      <c r="A16" s="10" t="str">
        <f t="shared" si="0"/>
        <v> AOEB 4 </v>
      </c>
      <c r="B16" s="15" t="str">
        <f t="shared" si="1"/>
        <v>I</v>
      </c>
      <c r="C16" s="10">
        <f t="shared" si="2"/>
        <v>42925.815999999999</v>
      </c>
      <c r="D16" s="13" t="str">
        <f t="shared" si="3"/>
        <v>vis</v>
      </c>
      <c r="E16" s="48">
        <f>VLOOKUP(C16,Active!C$21:E$967,3,FALSE)</f>
        <v>4616.9929023539817</v>
      </c>
      <c r="F16" s="15" t="s">
        <v>81</v>
      </c>
      <c r="G16" s="13" t="str">
        <f t="shared" si="4"/>
        <v>42925.816</v>
      </c>
      <c r="H16" s="10">
        <f t="shared" si="5"/>
        <v>4617</v>
      </c>
      <c r="I16" s="49" t="s">
        <v>154</v>
      </c>
      <c r="J16" s="50" t="s">
        <v>155</v>
      </c>
      <c r="K16" s="49">
        <v>4617</v>
      </c>
      <c r="L16" s="49" t="s">
        <v>156</v>
      </c>
      <c r="M16" s="50" t="s">
        <v>87</v>
      </c>
      <c r="N16" s="50"/>
      <c r="O16" s="51" t="s">
        <v>153</v>
      </c>
      <c r="P16" s="51" t="s">
        <v>149</v>
      </c>
    </row>
    <row r="17" spans="1:16" ht="12.75" customHeight="1" thickBot="1" x14ac:dyDescent="0.25">
      <c r="A17" s="10" t="str">
        <f t="shared" si="0"/>
        <v> AOEB 4 </v>
      </c>
      <c r="B17" s="15" t="str">
        <f t="shared" si="1"/>
        <v>I</v>
      </c>
      <c r="C17" s="10">
        <f t="shared" si="2"/>
        <v>42985.652000000002</v>
      </c>
      <c r="D17" s="13" t="str">
        <f t="shared" si="3"/>
        <v>vis</v>
      </c>
      <c r="E17" s="48">
        <f>VLOOKUP(C17,Active!C$21:E$967,3,FALSE)</f>
        <v>4645.9929943423749</v>
      </c>
      <c r="F17" s="15" t="s">
        <v>81</v>
      </c>
      <c r="G17" s="13" t="str">
        <f t="shared" si="4"/>
        <v>42985.652</v>
      </c>
      <c r="H17" s="10">
        <f t="shared" si="5"/>
        <v>4646</v>
      </c>
      <c r="I17" s="49" t="s">
        <v>157</v>
      </c>
      <c r="J17" s="50" t="s">
        <v>158</v>
      </c>
      <c r="K17" s="49">
        <v>4646</v>
      </c>
      <c r="L17" s="49" t="s">
        <v>159</v>
      </c>
      <c r="M17" s="50" t="s">
        <v>87</v>
      </c>
      <c r="N17" s="50"/>
      <c r="O17" s="51" t="s">
        <v>160</v>
      </c>
      <c r="P17" s="51" t="s">
        <v>149</v>
      </c>
    </row>
    <row r="18" spans="1:16" ht="12.75" customHeight="1" thickBot="1" x14ac:dyDescent="0.25">
      <c r="A18" s="10" t="str">
        <f t="shared" si="0"/>
        <v> AOEB 4 </v>
      </c>
      <c r="B18" s="15" t="str">
        <f t="shared" si="1"/>
        <v>I</v>
      </c>
      <c r="C18" s="10">
        <f t="shared" si="2"/>
        <v>42985.661999999997</v>
      </c>
      <c r="D18" s="13" t="str">
        <f t="shared" si="3"/>
        <v>vis</v>
      </c>
      <c r="E18" s="48">
        <f>VLOOKUP(C18,Active!C$21:E$967,3,FALSE)</f>
        <v>4645.9978409384003</v>
      </c>
      <c r="F18" s="15" t="s">
        <v>81</v>
      </c>
      <c r="G18" s="13" t="str">
        <f t="shared" si="4"/>
        <v>42985.662</v>
      </c>
      <c r="H18" s="10">
        <f t="shared" si="5"/>
        <v>4646</v>
      </c>
      <c r="I18" s="49" t="s">
        <v>161</v>
      </c>
      <c r="J18" s="50" t="s">
        <v>162</v>
      </c>
      <c r="K18" s="49">
        <v>4646</v>
      </c>
      <c r="L18" s="49" t="s">
        <v>163</v>
      </c>
      <c r="M18" s="50" t="s">
        <v>87</v>
      </c>
      <c r="N18" s="50"/>
      <c r="O18" s="51" t="s">
        <v>153</v>
      </c>
      <c r="P18" s="51" t="s">
        <v>149</v>
      </c>
    </row>
    <row r="19" spans="1:16" ht="12.75" customHeight="1" thickBot="1" x14ac:dyDescent="0.25">
      <c r="A19" s="10" t="str">
        <f t="shared" si="0"/>
        <v> AOEB 4 </v>
      </c>
      <c r="B19" s="15" t="str">
        <f t="shared" si="1"/>
        <v>I</v>
      </c>
      <c r="C19" s="10">
        <f t="shared" si="2"/>
        <v>43315.779000000002</v>
      </c>
      <c r="D19" s="13" t="str">
        <f t="shared" si="3"/>
        <v>vis</v>
      </c>
      <c r="E19" s="48">
        <f>VLOOKUP(C19,Active!C$21:E$967,3,FALSE)</f>
        <v>4805.9922150097345</v>
      </c>
      <c r="F19" s="15" t="s">
        <v>81</v>
      </c>
      <c r="G19" s="13" t="str">
        <f t="shared" si="4"/>
        <v>43315.779</v>
      </c>
      <c r="H19" s="10">
        <f t="shared" si="5"/>
        <v>4806</v>
      </c>
      <c r="I19" s="49" t="s">
        <v>164</v>
      </c>
      <c r="J19" s="50" t="s">
        <v>165</v>
      </c>
      <c r="K19" s="49">
        <v>4806</v>
      </c>
      <c r="L19" s="49" t="s">
        <v>166</v>
      </c>
      <c r="M19" s="50" t="s">
        <v>87</v>
      </c>
      <c r="N19" s="50"/>
      <c r="O19" s="51" t="s">
        <v>153</v>
      </c>
      <c r="P19" s="51" t="s">
        <v>149</v>
      </c>
    </row>
    <row r="20" spans="1:16" ht="12.75" customHeight="1" thickBot="1" x14ac:dyDescent="0.25">
      <c r="A20" s="10" t="str">
        <f t="shared" si="0"/>
        <v> AOEB 4 </v>
      </c>
      <c r="B20" s="15" t="str">
        <f t="shared" si="1"/>
        <v>I</v>
      </c>
      <c r="C20" s="10">
        <f t="shared" si="2"/>
        <v>43672.718999999997</v>
      </c>
      <c r="D20" s="13" t="str">
        <f t="shared" si="3"/>
        <v>vis</v>
      </c>
      <c r="E20" s="48">
        <f>VLOOKUP(C20,Active!C$21:E$967,3,FALSE)</f>
        <v>4978.9866136048395</v>
      </c>
      <c r="F20" s="15" t="s">
        <v>81</v>
      </c>
      <c r="G20" s="13" t="str">
        <f t="shared" si="4"/>
        <v>43672.719</v>
      </c>
      <c r="H20" s="10">
        <f t="shared" si="5"/>
        <v>4979</v>
      </c>
      <c r="I20" s="49" t="s">
        <v>167</v>
      </c>
      <c r="J20" s="50" t="s">
        <v>168</v>
      </c>
      <c r="K20" s="49">
        <v>4979</v>
      </c>
      <c r="L20" s="49" t="s">
        <v>169</v>
      </c>
      <c r="M20" s="50" t="s">
        <v>87</v>
      </c>
      <c r="N20" s="50"/>
      <c r="O20" s="51" t="s">
        <v>153</v>
      </c>
      <c r="P20" s="51" t="s">
        <v>149</v>
      </c>
    </row>
    <row r="21" spans="1:16" ht="12.75" customHeight="1" thickBot="1" x14ac:dyDescent="0.25">
      <c r="A21" s="10" t="str">
        <f t="shared" si="0"/>
        <v> AOEB 4 </v>
      </c>
      <c r="B21" s="15" t="str">
        <f t="shared" si="1"/>
        <v>I</v>
      </c>
      <c r="C21" s="10">
        <f t="shared" si="2"/>
        <v>43672.735999999997</v>
      </c>
      <c r="D21" s="13" t="str">
        <f t="shared" si="3"/>
        <v>vis</v>
      </c>
      <c r="E21" s="48">
        <f>VLOOKUP(C21,Active!C$21:E$967,3,FALSE)</f>
        <v>4978.9948528180857</v>
      </c>
      <c r="F21" s="15" t="s">
        <v>81</v>
      </c>
      <c r="G21" s="13" t="str">
        <f t="shared" si="4"/>
        <v>43672.736</v>
      </c>
      <c r="H21" s="10">
        <f t="shared" si="5"/>
        <v>4979</v>
      </c>
      <c r="I21" s="49" t="s">
        <v>170</v>
      </c>
      <c r="J21" s="50" t="s">
        <v>171</v>
      </c>
      <c r="K21" s="49">
        <v>4979</v>
      </c>
      <c r="L21" s="49" t="s">
        <v>172</v>
      </c>
      <c r="M21" s="50" t="s">
        <v>87</v>
      </c>
      <c r="N21" s="50"/>
      <c r="O21" s="51" t="s">
        <v>173</v>
      </c>
      <c r="P21" s="51" t="s">
        <v>149</v>
      </c>
    </row>
    <row r="22" spans="1:16" ht="12.75" customHeight="1" thickBot="1" x14ac:dyDescent="0.25">
      <c r="A22" s="10" t="str">
        <f t="shared" si="0"/>
        <v> AOEB 4 </v>
      </c>
      <c r="B22" s="15" t="str">
        <f t="shared" si="1"/>
        <v>I</v>
      </c>
      <c r="C22" s="10">
        <f t="shared" si="2"/>
        <v>44780.758999999998</v>
      </c>
      <c r="D22" s="13" t="str">
        <f t="shared" si="3"/>
        <v>vis</v>
      </c>
      <c r="E22" s="48">
        <f>VLOOKUP(C22,Active!C$21:E$967,3,FALSE)</f>
        <v>5516.008839803425</v>
      </c>
      <c r="F22" s="15" t="s">
        <v>81</v>
      </c>
      <c r="G22" s="13" t="str">
        <f t="shared" si="4"/>
        <v>44780.759</v>
      </c>
      <c r="H22" s="10">
        <f t="shared" si="5"/>
        <v>5516</v>
      </c>
      <c r="I22" s="49" t="s">
        <v>174</v>
      </c>
      <c r="J22" s="50" t="s">
        <v>175</v>
      </c>
      <c r="K22" s="49">
        <v>5516</v>
      </c>
      <c r="L22" s="49" t="s">
        <v>176</v>
      </c>
      <c r="M22" s="50" t="s">
        <v>87</v>
      </c>
      <c r="N22" s="50"/>
      <c r="O22" s="51" t="s">
        <v>148</v>
      </c>
      <c r="P22" s="51" t="s">
        <v>149</v>
      </c>
    </row>
    <row r="23" spans="1:16" ht="12.75" customHeight="1" thickBot="1" x14ac:dyDescent="0.25">
      <c r="A23" s="10" t="str">
        <f t="shared" si="0"/>
        <v> AOEB 4 </v>
      </c>
      <c r="B23" s="15" t="str">
        <f t="shared" si="1"/>
        <v>I</v>
      </c>
      <c r="C23" s="10">
        <f t="shared" si="2"/>
        <v>45463.686000000002</v>
      </c>
      <c r="D23" s="13" t="str">
        <f t="shared" si="3"/>
        <v>vis</v>
      </c>
      <c r="E23" s="48">
        <f>VLOOKUP(C23,Active!C$21:E$967,3,FALSE)</f>
        <v>5846.9959683106299</v>
      </c>
      <c r="F23" s="15" t="s">
        <v>81</v>
      </c>
      <c r="G23" s="13" t="str">
        <f t="shared" si="4"/>
        <v>45463.686</v>
      </c>
      <c r="H23" s="10">
        <f t="shared" si="5"/>
        <v>5847</v>
      </c>
      <c r="I23" s="49" t="s">
        <v>177</v>
      </c>
      <c r="J23" s="50" t="s">
        <v>178</v>
      </c>
      <c r="K23" s="49">
        <v>5847</v>
      </c>
      <c r="L23" s="49" t="s">
        <v>179</v>
      </c>
      <c r="M23" s="50" t="s">
        <v>87</v>
      </c>
      <c r="N23" s="50"/>
      <c r="O23" s="51" t="s">
        <v>153</v>
      </c>
      <c r="P23" s="51" t="s">
        <v>149</v>
      </c>
    </row>
    <row r="24" spans="1:16" ht="12.75" customHeight="1" thickBot="1" x14ac:dyDescent="0.25">
      <c r="A24" s="10" t="str">
        <f t="shared" si="0"/>
        <v> AOEB 4 </v>
      </c>
      <c r="B24" s="15" t="str">
        <f t="shared" si="1"/>
        <v>I</v>
      </c>
      <c r="C24" s="10">
        <f t="shared" si="2"/>
        <v>45888.720999999998</v>
      </c>
      <c r="D24" s="13" t="str">
        <f t="shared" si="3"/>
        <v>vis</v>
      </c>
      <c r="E24" s="48">
        <f>VLOOKUP(C24,Active!C$21:E$967,3,FALSE)</f>
        <v>6052.9932625529973</v>
      </c>
      <c r="F24" s="15" t="s">
        <v>81</v>
      </c>
      <c r="G24" s="13" t="str">
        <f t="shared" si="4"/>
        <v>45888.721</v>
      </c>
      <c r="H24" s="10">
        <f t="shared" si="5"/>
        <v>6053</v>
      </c>
      <c r="I24" s="49" t="s">
        <v>180</v>
      </c>
      <c r="J24" s="50" t="s">
        <v>181</v>
      </c>
      <c r="K24" s="49">
        <v>6053</v>
      </c>
      <c r="L24" s="49" t="s">
        <v>159</v>
      </c>
      <c r="M24" s="50" t="s">
        <v>87</v>
      </c>
      <c r="N24" s="50"/>
      <c r="O24" s="51" t="s">
        <v>153</v>
      </c>
      <c r="P24" s="51" t="s">
        <v>149</v>
      </c>
    </row>
    <row r="25" spans="1:16" ht="12.75" customHeight="1" thickBot="1" x14ac:dyDescent="0.25">
      <c r="A25" s="10" t="str">
        <f t="shared" si="0"/>
        <v> BRNO 27 </v>
      </c>
      <c r="B25" s="15" t="str">
        <f t="shared" si="1"/>
        <v>I</v>
      </c>
      <c r="C25" s="10">
        <f t="shared" si="2"/>
        <v>46175.516000000003</v>
      </c>
      <c r="D25" s="13" t="str">
        <f t="shared" si="3"/>
        <v>vis</v>
      </c>
      <c r="E25" s="48">
        <f>VLOOKUP(C25,Active!C$21:E$967,3,FALSE)</f>
        <v>6191.9912133152684</v>
      </c>
      <c r="F25" s="15" t="s">
        <v>81</v>
      </c>
      <c r="G25" s="13" t="str">
        <f t="shared" si="4"/>
        <v>46175.516</v>
      </c>
      <c r="H25" s="10">
        <f t="shared" si="5"/>
        <v>6192</v>
      </c>
      <c r="I25" s="49" t="s">
        <v>182</v>
      </c>
      <c r="J25" s="50" t="s">
        <v>183</v>
      </c>
      <c r="K25" s="49">
        <v>6192</v>
      </c>
      <c r="L25" s="49" t="s">
        <v>184</v>
      </c>
      <c r="M25" s="50" t="s">
        <v>87</v>
      </c>
      <c r="N25" s="50"/>
      <c r="O25" s="51" t="s">
        <v>134</v>
      </c>
      <c r="P25" s="51" t="s">
        <v>185</v>
      </c>
    </row>
    <row r="26" spans="1:16" ht="12.75" customHeight="1" thickBot="1" x14ac:dyDescent="0.25">
      <c r="A26" s="10" t="str">
        <f t="shared" si="0"/>
        <v> BRNO 27 </v>
      </c>
      <c r="B26" s="15" t="str">
        <f t="shared" si="1"/>
        <v>I</v>
      </c>
      <c r="C26" s="10">
        <f t="shared" si="2"/>
        <v>46175.536999999997</v>
      </c>
      <c r="D26" s="13" t="str">
        <f t="shared" si="3"/>
        <v>vis</v>
      </c>
      <c r="E26" s="48">
        <f>VLOOKUP(C26,Active!C$21:E$967,3,FALSE)</f>
        <v>6192.0013911669221</v>
      </c>
      <c r="F26" s="15" t="s">
        <v>81</v>
      </c>
      <c r="G26" s="13" t="str">
        <f t="shared" si="4"/>
        <v>46175.537</v>
      </c>
      <c r="H26" s="10">
        <f t="shared" si="5"/>
        <v>6192</v>
      </c>
      <c r="I26" s="49" t="s">
        <v>186</v>
      </c>
      <c r="J26" s="50" t="s">
        <v>187</v>
      </c>
      <c r="K26" s="49">
        <v>6192</v>
      </c>
      <c r="L26" s="49" t="s">
        <v>86</v>
      </c>
      <c r="M26" s="50" t="s">
        <v>87</v>
      </c>
      <c r="N26" s="50"/>
      <c r="O26" s="51" t="s">
        <v>188</v>
      </c>
      <c r="P26" s="51" t="s">
        <v>185</v>
      </c>
    </row>
    <row r="27" spans="1:16" ht="12.75" customHeight="1" thickBot="1" x14ac:dyDescent="0.25">
      <c r="A27" s="10" t="str">
        <f t="shared" si="0"/>
        <v> BBS 78 </v>
      </c>
      <c r="B27" s="15" t="str">
        <f t="shared" si="1"/>
        <v>I</v>
      </c>
      <c r="C27" s="10">
        <f t="shared" si="2"/>
        <v>46202.375</v>
      </c>
      <c r="D27" s="13" t="str">
        <f t="shared" si="3"/>
        <v>vis</v>
      </c>
      <c r="E27" s="48">
        <f>VLOOKUP(C27,Active!C$21:E$967,3,FALSE)</f>
        <v>6205.0086855847403</v>
      </c>
      <c r="F27" s="15" t="s">
        <v>81</v>
      </c>
      <c r="G27" s="13" t="str">
        <f t="shared" si="4"/>
        <v>46202.375</v>
      </c>
      <c r="H27" s="10">
        <f t="shared" si="5"/>
        <v>6205</v>
      </c>
      <c r="I27" s="49" t="s">
        <v>189</v>
      </c>
      <c r="J27" s="50" t="s">
        <v>190</v>
      </c>
      <c r="K27" s="49">
        <v>6205</v>
      </c>
      <c r="L27" s="49" t="s">
        <v>176</v>
      </c>
      <c r="M27" s="50" t="s">
        <v>87</v>
      </c>
      <c r="N27" s="50"/>
      <c r="O27" s="51" t="s">
        <v>191</v>
      </c>
      <c r="P27" s="51" t="s">
        <v>192</v>
      </c>
    </row>
    <row r="28" spans="1:16" ht="12.75" customHeight="1" thickBot="1" x14ac:dyDescent="0.25">
      <c r="A28" s="10" t="str">
        <f t="shared" si="0"/>
        <v> BRNO 27 </v>
      </c>
      <c r="B28" s="15" t="str">
        <f t="shared" si="1"/>
        <v>I</v>
      </c>
      <c r="C28" s="10">
        <f t="shared" si="2"/>
        <v>46268.389000000003</v>
      </c>
      <c r="D28" s="13" t="str">
        <f t="shared" si="3"/>
        <v>vis</v>
      </c>
      <c r="E28" s="48">
        <f>VLOOKUP(C28,Active!C$21:E$967,3,FALSE)</f>
        <v>6237.0030045987423</v>
      </c>
      <c r="F28" s="15" t="s">
        <v>81</v>
      </c>
      <c r="G28" s="13" t="str">
        <f t="shared" si="4"/>
        <v>46268.389</v>
      </c>
      <c r="H28" s="10">
        <f t="shared" si="5"/>
        <v>6237</v>
      </c>
      <c r="I28" s="49" t="s">
        <v>193</v>
      </c>
      <c r="J28" s="50" t="s">
        <v>194</v>
      </c>
      <c r="K28" s="49">
        <v>6237</v>
      </c>
      <c r="L28" s="49" t="s">
        <v>195</v>
      </c>
      <c r="M28" s="50" t="s">
        <v>87</v>
      </c>
      <c r="N28" s="50"/>
      <c r="O28" s="51" t="s">
        <v>196</v>
      </c>
      <c r="P28" s="51" t="s">
        <v>185</v>
      </c>
    </row>
    <row r="29" spans="1:16" ht="12.75" customHeight="1" thickBot="1" x14ac:dyDescent="0.25">
      <c r="A29" s="10" t="str">
        <f t="shared" si="0"/>
        <v> BRNO 27 </v>
      </c>
      <c r="B29" s="15" t="str">
        <f t="shared" si="1"/>
        <v>I</v>
      </c>
      <c r="C29" s="10">
        <f t="shared" si="2"/>
        <v>46270.453000000001</v>
      </c>
      <c r="D29" s="13" t="str">
        <f t="shared" si="3"/>
        <v>vis</v>
      </c>
      <c r="E29" s="48">
        <f>VLOOKUP(C29,Active!C$21:E$967,3,FALSE)</f>
        <v>6238.0033420187574</v>
      </c>
      <c r="F29" s="15" t="s">
        <v>81</v>
      </c>
      <c r="G29" s="13" t="str">
        <f t="shared" si="4"/>
        <v>46270.453</v>
      </c>
      <c r="H29" s="10">
        <f t="shared" si="5"/>
        <v>6238</v>
      </c>
      <c r="I29" s="49" t="s">
        <v>197</v>
      </c>
      <c r="J29" s="50" t="s">
        <v>198</v>
      </c>
      <c r="K29" s="49">
        <v>6238</v>
      </c>
      <c r="L29" s="49" t="s">
        <v>102</v>
      </c>
      <c r="M29" s="50" t="s">
        <v>87</v>
      </c>
      <c r="N29" s="50"/>
      <c r="O29" s="51" t="s">
        <v>191</v>
      </c>
      <c r="P29" s="51" t="s">
        <v>185</v>
      </c>
    </row>
    <row r="30" spans="1:16" ht="12.75" customHeight="1" thickBot="1" x14ac:dyDescent="0.25">
      <c r="A30" s="10" t="str">
        <f t="shared" si="0"/>
        <v> AOEB 4 </v>
      </c>
      <c r="B30" s="15" t="str">
        <f t="shared" si="1"/>
        <v>I</v>
      </c>
      <c r="C30" s="10">
        <f t="shared" si="2"/>
        <v>46606.758000000002</v>
      </c>
      <c r="D30" s="13" t="str">
        <f t="shared" si="3"/>
        <v>vis</v>
      </c>
      <c r="E30" s="48">
        <f>VLOOKUP(C30,Active!C$21:E$967,3,FALSE)</f>
        <v>6400.996789711724</v>
      </c>
      <c r="F30" s="15" t="s">
        <v>81</v>
      </c>
      <c r="G30" s="13" t="str">
        <f t="shared" si="4"/>
        <v>46606.758</v>
      </c>
      <c r="H30" s="10">
        <f t="shared" si="5"/>
        <v>6401</v>
      </c>
      <c r="I30" s="49" t="s">
        <v>199</v>
      </c>
      <c r="J30" s="50" t="s">
        <v>200</v>
      </c>
      <c r="K30" s="49">
        <v>6401</v>
      </c>
      <c r="L30" s="49" t="s">
        <v>97</v>
      </c>
      <c r="M30" s="50" t="s">
        <v>87</v>
      </c>
      <c r="N30" s="50"/>
      <c r="O30" s="51" t="s">
        <v>201</v>
      </c>
      <c r="P30" s="51" t="s">
        <v>149</v>
      </c>
    </row>
    <row r="31" spans="1:16" ht="12.75" customHeight="1" thickBot="1" x14ac:dyDescent="0.25">
      <c r="A31" s="10" t="str">
        <f t="shared" si="0"/>
        <v> AOEB 4 </v>
      </c>
      <c r="B31" s="15" t="str">
        <f t="shared" si="1"/>
        <v>I</v>
      </c>
      <c r="C31" s="10">
        <f t="shared" si="2"/>
        <v>46606.773999999998</v>
      </c>
      <c r="D31" s="13" t="str">
        <f t="shared" si="3"/>
        <v>vis</v>
      </c>
      <c r="E31" s="48">
        <f>VLOOKUP(C31,Active!C$21:E$967,3,FALSE)</f>
        <v>6401.0045442653654</v>
      </c>
      <c r="F31" s="15" t="s">
        <v>81</v>
      </c>
      <c r="G31" s="13" t="str">
        <f t="shared" si="4"/>
        <v>46606.774</v>
      </c>
      <c r="H31" s="10">
        <f t="shared" si="5"/>
        <v>6401</v>
      </c>
      <c r="I31" s="49" t="s">
        <v>202</v>
      </c>
      <c r="J31" s="50" t="s">
        <v>203</v>
      </c>
      <c r="K31" s="49">
        <v>6401</v>
      </c>
      <c r="L31" s="49" t="s">
        <v>204</v>
      </c>
      <c r="M31" s="50" t="s">
        <v>87</v>
      </c>
      <c r="N31" s="50"/>
      <c r="O31" s="51" t="s">
        <v>153</v>
      </c>
      <c r="P31" s="51" t="s">
        <v>149</v>
      </c>
    </row>
    <row r="32" spans="1:16" ht="12.75" customHeight="1" thickBot="1" x14ac:dyDescent="0.25">
      <c r="A32" s="10" t="str">
        <f t="shared" si="0"/>
        <v> BRNO 30 </v>
      </c>
      <c r="B32" s="15" t="str">
        <f t="shared" si="1"/>
        <v>I</v>
      </c>
      <c r="C32" s="10">
        <f t="shared" si="2"/>
        <v>46924.51</v>
      </c>
      <c r="D32" s="13" t="str">
        <f t="shared" si="3"/>
        <v>vis</v>
      </c>
      <c r="E32" s="48">
        <f>VLOOKUP(C32,Active!C$21:E$967,3,FALSE)</f>
        <v>6554.9983477954156</v>
      </c>
      <c r="F32" s="15" t="s">
        <v>81</v>
      </c>
      <c r="G32" s="13" t="str">
        <f t="shared" si="4"/>
        <v>46924.510</v>
      </c>
      <c r="H32" s="10">
        <f t="shared" si="5"/>
        <v>6555</v>
      </c>
      <c r="I32" s="49" t="s">
        <v>205</v>
      </c>
      <c r="J32" s="50" t="s">
        <v>206</v>
      </c>
      <c r="K32" s="49">
        <v>6555</v>
      </c>
      <c r="L32" s="49" t="s">
        <v>82</v>
      </c>
      <c r="M32" s="50" t="s">
        <v>87</v>
      </c>
      <c r="N32" s="50"/>
      <c r="O32" s="51" t="s">
        <v>191</v>
      </c>
      <c r="P32" s="51" t="s">
        <v>207</v>
      </c>
    </row>
    <row r="33" spans="1:16" ht="12.75" customHeight="1" thickBot="1" x14ac:dyDescent="0.25">
      <c r="A33" s="10" t="str">
        <f t="shared" si="0"/>
        <v> AOEB 4 </v>
      </c>
      <c r="B33" s="15" t="str">
        <f t="shared" si="1"/>
        <v>I</v>
      </c>
      <c r="C33" s="10">
        <f t="shared" si="2"/>
        <v>47295.932999999997</v>
      </c>
      <c r="D33" s="13" t="str">
        <f t="shared" si="3"/>
        <v>vis</v>
      </c>
      <c r="E33" s="48">
        <f>VLOOKUP(C33,Active!C$21:E$967,3,FALSE)</f>
        <v>6735.0120714167233</v>
      </c>
      <c r="F33" s="15" t="s">
        <v>81</v>
      </c>
      <c r="G33" s="13" t="str">
        <f t="shared" si="4"/>
        <v>47295.933</v>
      </c>
      <c r="H33" s="10">
        <f t="shared" si="5"/>
        <v>6735</v>
      </c>
      <c r="I33" s="49" t="s">
        <v>208</v>
      </c>
      <c r="J33" s="50" t="s">
        <v>209</v>
      </c>
      <c r="K33" s="49">
        <v>6735</v>
      </c>
      <c r="L33" s="49" t="s">
        <v>210</v>
      </c>
      <c r="M33" s="50" t="s">
        <v>87</v>
      </c>
      <c r="N33" s="50"/>
      <c r="O33" s="51" t="s">
        <v>201</v>
      </c>
      <c r="P33" s="51" t="s">
        <v>149</v>
      </c>
    </row>
    <row r="34" spans="1:16" ht="12.75" customHeight="1" thickBot="1" x14ac:dyDescent="0.25">
      <c r="A34" s="10" t="str">
        <f t="shared" si="0"/>
        <v> AOEB 4 </v>
      </c>
      <c r="B34" s="15" t="str">
        <f t="shared" si="1"/>
        <v>I</v>
      </c>
      <c r="C34" s="10">
        <f t="shared" si="2"/>
        <v>47681.762999999999</v>
      </c>
      <c r="D34" s="13" t="str">
        <f t="shared" si="3"/>
        <v>vis</v>
      </c>
      <c r="E34" s="48">
        <f>VLOOKUP(C34,Active!C$21:E$967,3,FALSE)</f>
        <v>6922.0082859344311</v>
      </c>
      <c r="F34" s="15" t="s">
        <v>81</v>
      </c>
      <c r="G34" s="13" t="str">
        <f t="shared" si="4"/>
        <v>47681.763</v>
      </c>
      <c r="H34" s="10">
        <f t="shared" si="5"/>
        <v>6922</v>
      </c>
      <c r="I34" s="49" t="s">
        <v>211</v>
      </c>
      <c r="J34" s="50" t="s">
        <v>212</v>
      </c>
      <c r="K34" s="49">
        <v>6922</v>
      </c>
      <c r="L34" s="49" t="s">
        <v>213</v>
      </c>
      <c r="M34" s="50" t="s">
        <v>87</v>
      </c>
      <c r="N34" s="50"/>
      <c r="O34" s="51" t="s">
        <v>153</v>
      </c>
      <c r="P34" s="51" t="s">
        <v>149</v>
      </c>
    </row>
    <row r="35" spans="1:16" ht="12.75" customHeight="1" thickBot="1" x14ac:dyDescent="0.25">
      <c r="A35" s="10" t="str">
        <f t="shared" si="0"/>
        <v> AOEB 4 </v>
      </c>
      <c r="B35" s="15" t="str">
        <f t="shared" si="1"/>
        <v>I</v>
      </c>
      <c r="C35" s="10">
        <f t="shared" si="2"/>
        <v>47714.743999999999</v>
      </c>
      <c r="D35" s="13" t="str">
        <f t="shared" si="3"/>
        <v>vis</v>
      </c>
      <c r="E35" s="48">
        <f>VLOOKUP(C35,Active!C$21:E$967,3,FALSE)</f>
        <v>6937.9928442917608</v>
      </c>
      <c r="F35" s="15" t="s">
        <v>81</v>
      </c>
      <c r="G35" s="13" t="str">
        <f t="shared" si="4"/>
        <v>47714.744</v>
      </c>
      <c r="H35" s="10">
        <f t="shared" si="5"/>
        <v>6938</v>
      </c>
      <c r="I35" s="49" t="s">
        <v>214</v>
      </c>
      <c r="J35" s="50" t="s">
        <v>215</v>
      </c>
      <c r="K35" s="49">
        <v>6938</v>
      </c>
      <c r="L35" s="49" t="s">
        <v>156</v>
      </c>
      <c r="M35" s="50" t="s">
        <v>87</v>
      </c>
      <c r="N35" s="50"/>
      <c r="O35" s="51" t="s">
        <v>201</v>
      </c>
      <c r="P35" s="51" t="s">
        <v>149</v>
      </c>
    </row>
    <row r="36" spans="1:16" ht="12.75" customHeight="1" thickBot="1" x14ac:dyDescent="0.25">
      <c r="A36" s="10" t="str">
        <f t="shared" si="0"/>
        <v> AOEB 4 </v>
      </c>
      <c r="B36" s="15" t="str">
        <f t="shared" si="1"/>
        <v>I</v>
      </c>
      <c r="C36" s="10">
        <f t="shared" si="2"/>
        <v>48133.601000000002</v>
      </c>
      <c r="D36" s="13" t="str">
        <f t="shared" si="3"/>
        <v>vis</v>
      </c>
      <c r="E36" s="48">
        <f>VLOOKUP(C36,Active!C$21:E$967,3,FALSE)</f>
        <v>7140.9959115085248</v>
      </c>
      <c r="F36" s="15" t="s">
        <v>81</v>
      </c>
      <c r="G36" s="13" t="str">
        <f t="shared" si="4"/>
        <v>48133.601</v>
      </c>
      <c r="H36" s="10">
        <f t="shared" si="5"/>
        <v>7141</v>
      </c>
      <c r="I36" s="49" t="s">
        <v>216</v>
      </c>
      <c r="J36" s="50" t="s">
        <v>217</v>
      </c>
      <c r="K36" s="49">
        <v>7141</v>
      </c>
      <c r="L36" s="49" t="s">
        <v>179</v>
      </c>
      <c r="M36" s="50" t="s">
        <v>87</v>
      </c>
      <c r="N36" s="50"/>
      <c r="O36" s="51" t="s">
        <v>153</v>
      </c>
      <c r="P36" s="51" t="s">
        <v>149</v>
      </c>
    </row>
    <row r="37" spans="1:16" ht="12.75" customHeight="1" thickBot="1" x14ac:dyDescent="0.25">
      <c r="A37" s="10" t="str">
        <f t="shared" si="0"/>
        <v> BBS 102 </v>
      </c>
      <c r="B37" s="15" t="str">
        <f t="shared" si="1"/>
        <v>I</v>
      </c>
      <c r="C37" s="10">
        <f t="shared" si="2"/>
        <v>48839.25</v>
      </c>
      <c r="D37" s="13" t="str">
        <f t="shared" si="3"/>
        <v>vis</v>
      </c>
      <c r="E37" s="48">
        <f>VLOOKUP(C37,Active!C$21:E$967,3,FALSE)</f>
        <v>7482.9954755087447</v>
      </c>
      <c r="F37" s="15" t="s">
        <v>81</v>
      </c>
      <c r="G37" s="13" t="str">
        <f t="shared" si="4"/>
        <v>48839.25</v>
      </c>
      <c r="H37" s="10">
        <f t="shared" si="5"/>
        <v>7483</v>
      </c>
      <c r="I37" s="49" t="s">
        <v>218</v>
      </c>
      <c r="J37" s="50" t="s">
        <v>219</v>
      </c>
      <c r="K37" s="49">
        <v>7483</v>
      </c>
      <c r="L37" s="49" t="s">
        <v>220</v>
      </c>
      <c r="M37" s="50" t="s">
        <v>221</v>
      </c>
      <c r="N37" s="50" t="s">
        <v>222</v>
      </c>
      <c r="O37" s="51" t="s">
        <v>191</v>
      </c>
      <c r="P37" s="51" t="s">
        <v>223</v>
      </c>
    </row>
    <row r="38" spans="1:16" ht="12.75" customHeight="1" thickBot="1" x14ac:dyDescent="0.25">
      <c r="A38" s="10" t="str">
        <f t="shared" si="0"/>
        <v>OEJV 0060 </v>
      </c>
      <c r="B38" s="15" t="str">
        <f t="shared" si="1"/>
        <v>I</v>
      </c>
      <c r="C38" s="10">
        <f t="shared" si="2"/>
        <v>49889.483999999997</v>
      </c>
      <c r="D38" s="13" t="str">
        <f t="shared" si="3"/>
        <v>vis</v>
      </c>
      <c r="E38" s="48">
        <f>VLOOKUP(C38,Active!C$21:E$967,3,FALSE)</f>
        <v>7992.0014687124585</v>
      </c>
      <c r="F38" s="15" t="s">
        <v>81</v>
      </c>
      <c r="G38" s="13" t="str">
        <f t="shared" si="4"/>
        <v>49889.484</v>
      </c>
      <c r="H38" s="10">
        <f t="shared" si="5"/>
        <v>7992</v>
      </c>
      <c r="I38" s="49" t="s">
        <v>224</v>
      </c>
      <c r="J38" s="50" t="s">
        <v>225</v>
      </c>
      <c r="K38" s="49">
        <v>7992</v>
      </c>
      <c r="L38" s="49" t="s">
        <v>86</v>
      </c>
      <c r="M38" s="50" t="s">
        <v>87</v>
      </c>
      <c r="N38" s="50"/>
      <c r="O38" s="51" t="s">
        <v>226</v>
      </c>
      <c r="P38" s="52" t="s">
        <v>227</v>
      </c>
    </row>
    <row r="39" spans="1:16" ht="12.75" customHeight="1" thickBot="1" x14ac:dyDescent="0.25">
      <c r="A39" s="10" t="str">
        <f t="shared" si="0"/>
        <v>OEJV 0074 </v>
      </c>
      <c r="B39" s="15" t="str">
        <f t="shared" si="1"/>
        <v>I</v>
      </c>
      <c r="C39" s="10">
        <f t="shared" si="2"/>
        <v>51649.475030000001</v>
      </c>
      <c r="D39" s="13" t="str">
        <f t="shared" si="3"/>
        <v>vis</v>
      </c>
      <c r="E39" s="48">
        <f>VLOOKUP(C39,Active!C$21:E$967,3,FALSE)</f>
        <v>8844.9980221041624</v>
      </c>
      <c r="F39" s="15" t="s">
        <v>81</v>
      </c>
      <c r="G39" s="13" t="str">
        <f t="shared" si="4"/>
        <v>51649.47503</v>
      </c>
      <c r="H39" s="10">
        <f t="shared" si="5"/>
        <v>8845</v>
      </c>
      <c r="I39" s="49" t="s">
        <v>228</v>
      </c>
      <c r="J39" s="50" t="s">
        <v>229</v>
      </c>
      <c r="K39" s="49">
        <v>8845</v>
      </c>
      <c r="L39" s="49" t="s">
        <v>230</v>
      </c>
      <c r="M39" s="50" t="s">
        <v>231</v>
      </c>
      <c r="N39" s="50" t="s">
        <v>232</v>
      </c>
      <c r="O39" s="51" t="s">
        <v>233</v>
      </c>
      <c r="P39" s="52" t="s">
        <v>234</v>
      </c>
    </row>
    <row r="40" spans="1:16" ht="12.75" customHeight="1" thickBot="1" x14ac:dyDescent="0.25">
      <c r="A40" s="10" t="str">
        <f t="shared" si="0"/>
        <v>IBVS 5577 </v>
      </c>
      <c r="B40" s="15" t="str">
        <f t="shared" si="1"/>
        <v>I</v>
      </c>
      <c r="C40" s="10">
        <f t="shared" si="2"/>
        <v>53095.845000000001</v>
      </c>
      <c r="D40" s="13" t="str">
        <f t="shared" si="3"/>
        <v>vis</v>
      </c>
      <c r="E40" s="48">
        <f>VLOOKUP(C40,Active!C$21:E$967,3,FALSE)</f>
        <v>9545.9951171514349</v>
      </c>
      <c r="F40" s="15" t="s">
        <v>81</v>
      </c>
      <c r="G40" s="13" t="str">
        <f t="shared" si="4"/>
        <v>53095.845</v>
      </c>
      <c r="H40" s="10">
        <f t="shared" si="5"/>
        <v>9546</v>
      </c>
      <c r="I40" s="49" t="s">
        <v>247</v>
      </c>
      <c r="J40" s="50" t="s">
        <v>248</v>
      </c>
      <c r="K40" s="49">
        <v>9546</v>
      </c>
      <c r="L40" s="49" t="s">
        <v>249</v>
      </c>
      <c r="M40" s="50" t="s">
        <v>221</v>
      </c>
      <c r="N40" s="50" t="s">
        <v>222</v>
      </c>
      <c r="O40" s="51" t="s">
        <v>250</v>
      </c>
      <c r="P40" s="52" t="s">
        <v>251</v>
      </c>
    </row>
    <row r="41" spans="1:16" ht="12.75" customHeight="1" thickBot="1" x14ac:dyDescent="0.25">
      <c r="A41" s="10" t="str">
        <f t="shared" si="0"/>
        <v>IBVS 5577 </v>
      </c>
      <c r="B41" s="15" t="str">
        <f t="shared" si="1"/>
        <v>I</v>
      </c>
      <c r="C41" s="10">
        <f t="shared" si="2"/>
        <v>53097.914299999997</v>
      </c>
      <c r="D41" s="13" t="str">
        <f t="shared" si="3"/>
        <v>vis</v>
      </c>
      <c r="E41" s="48">
        <f>VLOOKUP(C41,Active!C$21:E$967,3,FALSE)</f>
        <v>9546.9980232673424</v>
      </c>
      <c r="F41" s="15" t="s">
        <v>81</v>
      </c>
      <c r="G41" s="13" t="str">
        <f t="shared" si="4"/>
        <v>53097.9143</v>
      </c>
      <c r="H41" s="10">
        <f t="shared" si="5"/>
        <v>9547</v>
      </c>
      <c r="I41" s="49" t="s">
        <v>252</v>
      </c>
      <c r="J41" s="50" t="s">
        <v>253</v>
      </c>
      <c r="K41" s="49">
        <v>9547</v>
      </c>
      <c r="L41" s="49" t="s">
        <v>254</v>
      </c>
      <c r="M41" s="50" t="s">
        <v>221</v>
      </c>
      <c r="N41" s="50" t="s">
        <v>222</v>
      </c>
      <c r="O41" s="51" t="s">
        <v>250</v>
      </c>
      <c r="P41" s="52" t="s">
        <v>251</v>
      </c>
    </row>
    <row r="42" spans="1:16" ht="12.75" customHeight="1" thickBot="1" x14ac:dyDescent="0.25">
      <c r="A42" s="10" t="str">
        <f t="shared" si="0"/>
        <v>IBVS 5670 </v>
      </c>
      <c r="B42" s="15" t="str">
        <f t="shared" si="1"/>
        <v>I</v>
      </c>
      <c r="C42" s="10">
        <f t="shared" si="2"/>
        <v>53545.655200000001</v>
      </c>
      <c r="D42" s="13" t="str">
        <f t="shared" si="3"/>
        <v>vis</v>
      </c>
      <c r="E42" s="48">
        <f>VLOOKUP(C42,Active!C$21:E$967,3,FALSE)</f>
        <v>9763.9999499831301</v>
      </c>
      <c r="F42" s="15" t="s">
        <v>81</v>
      </c>
      <c r="G42" s="13" t="str">
        <f t="shared" si="4"/>
        <v>53545.6552</v>
      </c>
      <c r="H42" s="10">
        <f t="shared" si="5"/>
        <v>9764</v>
      </c>
      <c r="I42" s="49" t="s">
        <v>260</v>
      </c>
      <c r="J42" s="50" t="s">
        <v>261</v>
      </c>
      <c r="K42" s="49">
        <v>9764</v>
      </c>
      <c r="L42" s="49" t="s">
        <v>262</v>
      </c>
      <c r="M42" s="50" t="s">
        <v>221</v>
      </c>
      <c r="N42" s="50" t="s">
        <v>222</v>
      </c>
      <c r="O42" s="51" t="s">
        <v>258</v>
      </c>
      <c r="P42" s="52" t="s">
        <v>259</v>
      </c>
    </row>
    <row r="43" spans="1:16" ht="12.75" customHeight="1" thickBot="1" x14ac:dyDescent="0.25">
      <c r="A43" s="10" t="str">
        <f t="shared" ref="A43:A65" si="6">P43</f>
        <v>IBVS 5636 </v>
      </c>
      <c r="B43" s="15" t="str">
        <f t="shared" ref="B43:B65" si="7">IF(H43=INT(H43),"I","II")</f>
        <v>I</v>
      </c>
      <c r="C43" s="10">
        <f t="shared" ref="C43:C65" si="8">1*G43</f>
        <v>53547.715799999998</v>
      </c>
      <c r="D43" s="13" t="str">
        <f t="shared" ref="D43:D65" si="9">VLOOKUP(F43,I$1:J$5,2,FALSE)</f>
        <v>vis</v>
      </c>
      <c r="E43" s="48">
        <f>VLOOKUP(C43,Active!C$21:E$967,3,FALSE)</f>
        <v>9764.9986395604938</v>
      </c>
      <c r="F43" s="15" t="s">
        <v>81</v>
      </c>
      <c r="G43" s="13" t="str">
        <f t="shared" ref="G43:G65" si="10">MID(I43,3,LEN(I43)-3)</f>
        <v>53547.7158</v>
      </c>
      <c r="H43" s="10">
        <f t="shared" ref="H43:H65" si="11">1*K43</f>
        <v>9765</v>
      </c>
      <c r="I43" s="49" t="s">
        <v>263</v>
      </c>
      <c r="J43" s="50" t="s">
        <v>264</v>
      </c>
      <c r="K43" s="49">
        <v>9765</v>
      </c>
      <c r="L43" s="49" t="s">
        <v>265</v>
      </c>
      <c r="M43" s="50" t="s">
        <v>221</v>
      </c>
      <c r="N43" s="50" t="s">
        <v>266</v>
      </c>
      <c r="O43" s="51" t="s">
        <v>267</v>
      </c>
      <c r="P43" s="52" t="s">
        <v>268</v>
      </c>
    </row>
    <row r="44" spans="1:16" ht="12.75" customHeight="1" thickBot="1" x14ac:dyDescent="0.25">
      <c r="A44" s="10" t="str">
        <f t="shared" si="6"/>
        <v>JAAVSO 36(2);186 </v>
      </c>
      <c r="B44" s="15" t="str">
        <f t="shared" si="7"/>
        <v>I</v>
      </c>
      <c r="C44" s="10">
        <f t="shared" si="8"/>
        <v>54653.647599999997</v>
      </c>
      <c r="D44" s="13" t="str">
        <f t="shared" si="9"/>
        <v>vis</v>
      </c>
      <c r="E44" s="48">
        <f>VLOOKUP(C44,Active!C$21:E$967,3,FALSE)</f>
        <v>10300.999106384623</v>
      </c>
      <c r="F44" s="15" t="s">
        <v>81</v>
      </c>
      <c r="G44" s="13" t="str">
        <f t="shared" si="10"/>
        <v>54653.6476</v>
      </c>
      <c r="H44" s="10">
        <f t="shared" si="11"/>
        <v>10301</v>
      </c>
      <c r="I44" s="49" t="s">
        <v>276</v>
      </c>
      <c r="J44" s="50" t="s">
        <v>277</v>
      </c>
      <c r="K44" s="49">
        <v>10301</v>
      </c>
      <c r="L44" s="49" t="s">
        <v>278</v>
      </c>
      <c r="M44" s="50" t="s">
        <v>231</v>
      </c>
      <c r="N44" s="50" t="s">
        <v>232</v>
      </c>
      <c r="O44" s="51" t="s">
        <v>153</v>
      </c>
      <c r="P44" s="52" t="s">
        <v>279</v>
      </c>
    </row>
    <row r="45" spans="1:16" ht="12.75" customHeight="1" thickBot="1" x14ac:dyDescent="0.25">
      <c r="A45" s="10" t="str">
        <f t="shared" si="6"/>
        <v>IBVS 5894 </v>
      </c>
      <c r="B45" s="15" t="str">
        <f t="shared" si="7"/>
        <v>I</v>
      </c>
      <c r="C45" s="10">
        <f t="shared" si="8"/>
        <v>54983.7785</v>
      </c>
      <c r="D45" s="13" t="str">
        <f t="shared" si="9"/>
        <v>vis</v>
      </c>
      <c r="E45" s="48">
        <f>VLOOKUP(C45,Active!C$21:E$967,3,FALSE)</f>
        <v>10461.000217224435</v>
      </c>
      <c r="F45" s="15" t="s">
        <v>81</v>
      </c>
      <c r="G45" s="13" t="str">
        <f t="shared" si="10"/>
        <v>54983.7785</v>
      </c>
      <c r="H45" s="10">
        <f t="shared" si="11"/>
        <v>10461</v>
      </c>
      <c r="I45" s="49" t="s">
        <v>280</v>
      </c>
      <c r="J45" s="50" t="s">
        <v>281</v>
      </c>
      <c r="K45" s="49">
        <v>10461</v>
      </c>
      <c r="L45" s="49" t="s">
        <v>282</v>
      </c>
      <c r="M45" s="50" t="s">
        <v>231</v>
      </c>
      <c r="N45" s="50" t="s">
        <v>81</v>
      </c>
      <c r="O45" s="51" t="s">
        <v>283</v>
      </c>
      <c r="P45" s="52" t="s">
        <v>284</v>
      </c>
    </row>
    <row r="46" spans="1:16" ht="12.75" customHeight="1" thickBot="1" x14ac:dyDescent="0.25">
      <c r="A46" s="10" t="str">
        <f t="shared" si="6"/>
        <v> JAAVSO 41;328 </v>
      </c>
      <c r="B46" s="15" t="str">
        <f t="shared" si="7"/>
        <v>I</v>
      </c>
      <c r="C46" s="10">
        <f t="shared" si="8"/>
        <v>56481.734499999999</v>
      </c>
      <c r="D46" s="13" t="str">
        <f t="shared" si="9"/>
        <v>vis</v>
      </c>
      <c r="E46" s="48">
        <f>VLOOKUP(C46,Active!C$21:E$967,3,FALSE)</f>
        <v>11186.998977077443</v>
      </c>
      <c r="F46" s="15" t="s">
        <v>81</v>
      </c>
      <c r="G46" s="13" t="str">
        <f t="shared" si="10"/>
        <v>56481.7345</v>
      </c>
      <c r="H46" s="10">
        <f t="shared" si="11"/>
        <v>11187</v>
      </c>
      <c r="I46" s="49" t="s">
        <v>289</v>
      </c>
      <c r="J46" s="50" t="s">
        <v>290</v>
      </c>
      <c r="K46" s="49">
        <v>11187</v>
      </c>
      <c r="L46" s="49" t="s">
        <v>291</v>
      </c>
      <c r="M46" s="50" t="s">
        <v>231</v>
      </c>
      <c r="N46" s="50" t="s">
        <v>81</v>
      </c>
      <c r="O46" s="51" t="s">
        <v>153</v>
      </c>
      <c r="P46" s="51" t="s">
        <v>292</v>
      </c>
    </row>
    <row r="47" spans="1:16" ht="12.75" customHeight="1" thickBot="1" x14ac:dyDescent="0.25">
      <c r="A47" s="10" t="str">
        <f t="shared" si="6"/>
        <v> AN 194.166 </v>
      </c>
      <c r="B47" s="15" t="str">
        <f t="shared" si="7"/>
        <v>I</v>
      </c>
      <c r="C47" s="10">
        <f t="shared" si="8"/>
        <v>19542.412</v>
      </c>
      <c r="D47" s="13" t="str">
        <f t="shared" si="9"/>
        <v>vis</v>
      </c>
      <c r="E47" s="48">
        <f>VLOOKUP(C47,Active!C$21:E$967,3,FALSE)</f>
        <v>-6715.9983905423915</v>
      </c>
      <c r="F47" s="15" t="s">
        <v>81</v>
      </c>
      <c r="G47" s="13" t="str">
        <f t="shared" si="10"/>
        <v>19542.412</v>
      </c>
      <c r="H47" s="10">
        <f t="shared" si="11"/>
        <v>-6716</v>
      </c>
      <c r="I47" s="49" t="s">
        <v>84</v>
      </c>
      <c r="J47" s="50" t="s">
        <v>85</v>
      </c>
      <c r="K47" s="49">
        <v>-6716</v>
      </c>
      <c r="L47" s="49" t="s">
        <v>86</v>
      </c>
      <c r="M47" s="50" t="s">
        <v>87</v>
      </c>
      <c r="N47" s="50"/>
      <c r="O47" s="51" t="s">
        <v>88</v>
      </c>
      <c r="P47" s="51" t="s">
        <v>89</v>
      </c>
    </row>
    <row r="48" spans="1:16" ht="12.75" customHeight="1" thickBot="1" x14ac:dyDescent="0.25">
      <c r="A48" s="10" t="str">
        <f t="shared" si="6"/>
        <v> PZ 17.519 </v>
      </c>
      <c r="B48" s="15" t="str">
        <f t="shared" si="7"/>
        <v>I</v>
      </c>
      <c r="C48" s="10">
        <f t="shared" si="8"/>
        <v>27979.262999999999</v>
      </c>
      <c r="D48" s="13" t="str">
        <f t="shared" si="9"/>
        <v>vis</v>
      </c>
      <c r="E48" s="48">
        <f>VLOOKUP(C48,Active!C$21:E$967,3,FALSE)</f>
        <v>-2626.9975366691042</v>
      </c>
      <c r="F48" s="15" t="s">
        <v>81</v>
      </c>
      <c r="G48" s="13" t="str">
        <f t="shared" si="10"/>
        <v>27979.263</v>
      </c>
      <c r="H48" s="10">
        <f t="shared" si="11"/>
        <v>-2627</v>
      </c>
      <c r="I48" s="49" t="s">
        <v>90</v>
      </c>
      <c r="J48" s="50" t="s">
        <v>91</v>
      </c>
      <c r="K48" s="49">
        <v>-2627</v>
      </c>
      <c r="L48" s="49" t="s">
        <v>92</v>
      </c>
      <c r="M48" s="50" t="s">
        <v>83</v>
      </c>
      <c r="N48" s="50"/>
      <c r="O48" s="51" t="s">
        <v>93</v>
      </c>
      <c r="P48" s="51" t="s">
        <v>94</v>
      </c>
    </row>
    <row r="49" spans="1:16" ht="12.75" customHeight="1" thickBot="1" x14ac:dyDescent="0.25">
      <c r="A49" s="10" t="str">
        <f t="shared" si="6"/>
        <v> AA 27.155 </v>
      </c>
      <c r="B49" s="15" t="str">
        <f t="shared" si="7"/>
        <v>I</v>
      </c>
      <c r="C49" s="10">
        <f t="shared" si="8"/>
        <v>28344.455999999998</v>
      </c>
      <c r="D49" s="13" t="str">
        <f t="shared" si="9"/>
        <v>vis</v>
      </c>
      <c r="E49" s="48">
        <f>VLOOKUP(C49,Active!C$21:E$967,3,FALSE)</f>
        <v>-2450.0032423727434</v>
      </c>
      <c r="F49" s="15" t="s">
        <v>81</v>
      </c>
      <c r="G49" s="13" t="str">
        <f t="shared" si="10"/>
        <v>28344.456</v>
      </c>
      <c r="H49" s="10">
        <f t="shared" si="11"/>
        <v>-2450</v>
      </c>
      <c r="I49" s="49" t="s">
        <v>95</v>
      </c>
      <c r="J49" s="50" t="s">
        <v>96</v>
      </c>
      <c r="K49" s="49">
        <v>-2450</v>
      </c>
      <c r="L49" s="49" t="s">
        <v>97</v>
      </c>
      <c r="M49" s="50" t="s">
        <v>87</v>
      </c>
      <c r="N49" s="50"/>
      <c r="O49" s="51" t="s">
        <v>98</v>
      </c>
      <c r="P49" s="51" t="s">
        <v>99</v>
      </c>
    </row>
    <row r="50" spans="1:16" ht="12.75" customHeight="1" thickBot="1" x14ac:dyDescent="0.25">
      <c r="A50" s="10" t="str">
        <f t="shared" si="6"/>
        <v> AA 27.155 </v>
      </c>
      <c r="B50" s="15" t="str">
        <f t="shared" si="7"/>
        <v>I</v>
      </c>
      <c r="C50" s="10">
        <f t="shared" si="8"/>
        <v>28346.532999999999</v>
      </c>
      <c r="D50" s="13" t="str">
        <f t="shared" si="9"/>
        <v>vis</v>
      </c>
      <c r="E50" s="48">
        <f>VLOOKUP(C50,Active!C$21:E$967,3,FALSE)</f>
        <v>-2448.9966043778923</v>
      </c>
      <c r="F50" s="15" t="s">
        <v>81</v>
      </c>
      <c r="G50" s="13" t="str">
        <f t="shared" si="10"/>
        <v>28346.533</v>
      </c>
      <c r="H50" s="10">
        <f t="shared" si="11"/>
        <v>-2449</v>
      </c>
      <c r="I50" s="49" t="s">
        <v>100</v>
      </c>
      <c r="J50" s="50" t="s">
        <v>101</v>
      </c>
      <c r="K50" s="49">
        <v>-2449</v>
      </c>
      <c r="L50" s="49" t="s">
        <v>102</v>
      </c>
      <c r="M50" s="50" t="s">
        <v>87</v>
      </c>
      <c r="N50" s="50"/>
      <c r="O50" s="51" t="s">
        <v>98</v>
      </c>
      <c r="P50" s="51" t="s">
        <v>99</v>
      </c>
    </row>
    <row r="51" spans="1:16" ht="12.75" customHeight="1" thickBot="1" x14ac:dyDescent="0.25">
      <c r="A51" s="10" t="str">
        <f t="shared" si="6"/>
        <v> PZ 17.519 </v>
      </c>
      <c r="B51" s="15" t="str">
        <f t="shared" si="7"/>
        <v>I</v>
      </c>
      <c r="C51" s="10">
        <f t="shared" si="8"/>
        <v>28350.651999999998</v>
      </c>
      <c r="D51" s="13" t="str">
        <f t="shared" si="9"/>
        <v>vis</v>
      </c>
      <c r="E51" s="48">
        <f>VLOOKUP(C51,Active!C$21:E$967,3,FALSE)</f>
        <v>-2447.0002914742863</v>
      </c>
      <c r="F51" s="15" t="s">
        <v>81</v>
      </c>
      <c r="G51" s="13" t="str">
        <f t="shared" si="10"/>
        <v>28350.652</v>
      </c>
      <c r="H51" s="10">
        <f t="shared" si="11"/>
        <v>-2447</v>
      </c>
      <c r="I51" s="49" t="s">
        <v>103</v>
      </c>
      <c r="J51" s="50" t="s">
        <v>104</v>
      </c>
      <c r="K51" s="49">
        <v>-2447</v>
      </c>
      <c r="L51" s="49" t="s">
        <v>105</v>
      </c>
      <c r="M51" s="50" t="s">
        <v>83</v>
      </c>
      <c r="N51" s="50"/>
      <c r="O51" s="51" t="s">
        <v>93</v>
      </c>
      <c r="P51" s="51" t="s">
        <v>94</v>
      </c>
    </row>
    <row r="52" spans="1:16" ht="12.75" customHeight="1" thickBot="1" x14ac:dyDescent="0.25">
      <c r="A52" s="10" t="str">
        <f t="shared" si="6"/>
        <v> PZ 17.519 </v>
      </c>
      <c r="B52" s="15" t="str">
        <f t="shared" si="7"/>
        <v>I</v>
      </c>
      <c r="C52" s="10">
        <f t="shared" si="8"/>
        <v>29173.992999999999</v>
      </c>
      <c r="D52" s="13" t="str">
        <f t="shared" si="9"/>
        <v>vis</v>
      </c>
      <c r="E52" s="48">
        <f>VLOOKUP(C52,Active!C$21:E$967,3,FALSE)</f>
        <v>-2047.9601695106664</v>
      </c>
      <c r="F52" s="15" t="s">
        <v>81</v>
      </c>
      <c r="G52" s="13" t="str">
        <f t="shared" si="10"/>
        <v>29173.993</v>
      </c>
      <c r="H52" s="10">
        <f t="shared" si="11"/>
        <v>-2048</v>
      </c>
      <c r="I52" s="49" t="s">
        <v>106</v>
      </c>
      <c r="J52" s="50" t="s">
        <v>107</v>
      </c>
      <c r="K52" s="49">
        <v>-2048</v>
      </c>
      <c r="L52" s="49" t="s">
        <v>108</v>
      </c>
      <c r="M52" s="50" t="s">
        <v>83</v>
      </c>
      <c r="N52" s="50"/>
      <c r="O52" s="51" t="s">
        <v>93</v>
      </c>
      <c r="P52" s="51" t="s">
        <v>94</v>
      </c>
    </row>
    <row r="53" spans="1:16" ht="12.75" customHeight="1" thickBot="1" x14ac:dyDescent="0.25">
      <c r="A53" s="10" t="str">
        <f t="shared" si="6"/>
        <v> PZ 17.519 </v>
      </c>
      <c r="B53" s="15" t="str">
        <f t="shared" si="7"/>
        <v>I</v>
      </c>
      <c r="C53" s="10">
        <f t="shared" si="8"/>
        <v>29805.278999999999</v>
      </c>
      <c r="D53" s="13" t="str">
        <f t="shared" si="9"/>
        <v>vis</v>
      </c>
      <c r="E53" s="48">
        <f>VLOOKUP(C53,Active!C$21:E$967,3,FALSE)</f>
        <v>-1742.0013475475605</v>
      </c>
      <c r="F53" s="15" t="s">
        <v>81</v>
      </c>
      <c r="G53" s="13" t="str">
        <f t="shared" si="10"/>
        <v>29805.279</v>
      </c>
      <c r="H53" s="10">
        <f t="shared" si="11"/>
        <v>-1742</v>
      </c>
      <c r="I53" s="49" t="s">
        <v>109</v>
      </c>
      <c r="J53" s="50" t="s">
        <v>110</v>
      </c>
      <c r="K53" s="49">
        <v>-1742</v>
      </c>
      <c r="L53" s="49" t="s">
        <v>82</v>
      </c>
      <c r="M53" s="50" t="s">
        <v>83</v>
      </c>
      <c r="N53" s="50"/>
      <c r="O53" s="51" t="s">
        <v>93</v>
      </c>
      <c r="P53" s="51" t="s">
        <v>94</v>
      </c>
    </row>
    <row r="54" spans="1:16" ht="12.75" customHeight="1" thickBot="1" x14ac:dyDescent="0.25">
      <c r="A54" s="10" t="str">
        <f t="shared" si="6"/>
        <v> PZ 17.519 </v>
      </c>
      <c r="B54" s="15" t="str">
        <f t="shared" si="7"/>
        <v>I</v>
      </c>
      <c r="C54" s="10">
        <f t="shared" si="8"/>
        <v>30106.510999999999</v>
      </c>
      <c r="D54" s="13" t="str">
        <f t="shared" si="9"/>
        <v>vis</v>
      </c>
      <c r="E54" s="48">
        <f>VLOOKUP(C54,Active!C$21:E$967,3,FALSE)</f>
        <v>-1596.0063661008148</v>
      </c>
      <c r="F54" s="15" t="s">
        <v>81</v>
      </c>
      <c r="G54" s="13" t="str">
        <f t="shared" si="10"/>
        <v>30106.511</v>
      </c>
      <c r="H54" s="10">
        <f t="shared" si="11"/>
        <v>-1596</v>
      </c>
      <c r="I54" s="49" t="s">
        <v>111</v>
      </c>
      <c r="J54" s="50" t="s">
        <v>112</v>
      </c>
      <c r="K54" s="49">
        <v>-1596</v>
      </c>
      <c r="L54" s="49" t="s">
        <v>113</v>
      </c>
      <c r="M54" s="50" t="s">
        <v>83</v>
      </c>
      <c r="N54" s="50"/>
      <c r="O54" s="51" t="s">
        <v>93</v>
      </c>
      <c r="P54" s="51" t="s">
        <v>94</v>
      </c>
    </row>
    <row r="55" spans="1:16" ht="12.75" customHeight="1" thickBot="1" x14ac:dyDescent="0.25">
      <c r="A55" s="10" t="str">
        <f t="shared" si="6"/>
        <v> IODE 4.2.216 </v>
      </c>
      <c r="B55" s="15" t="str">
        <f t="shared" si="7"/>
        <v>I</v>
      </c>
      <c r="C55" s="10">
        <f t="shared" si="8"/>
        <v>31251.669000000002</v>
      </c>
      <c r="D55" s="13" t="str">
        <f t="shared" si="9"/>
        <v>vis</v>
      </c>
      <c r="E55" s="48">
        <f>VLOOKUP(C55,Active!C$21:E$967,3,FALSE)</f>
        <v>-1040.9945447684433</v>
      </c>
      <c r="F55" s="15" t="s">
        <v>81</v>
      </c>
      <c r="G55" s="13" t="str">
        <f t="shared" si="10"/>
        <v>31251.669</v>
      </c>
      <c r="H55" s="10">
        <f t="shared" si="11"/>
        <v>-1041</v>
      </c>
      <c r="I55" s="49" t="s">
        <v>114</v>
      </c>
      <c r="J55" s="50" t="s">
        <v>115</v>
      </c>
      <c r="K55" s="49">
        <v>-1041</v>
      </c>
      <c r="L55" s="49" t="s">
        <v>116</v>
      </c>
      <c r="M55" s="50" t="s">
        <v>87</v>
      </c>
      <c r="N55" s="50"/>
      <c r="O55" s="51" t="s">
        <v>117</v>
      </c>
      <c r="P55" s="51" t="s">
        <v>118</v>
      </c>
    </row>
    <row r="56" spans="1:16" ht="12.75" customHeight="1" thickBot="1" x14ac:dyDescent="0.25">
      <c r="A56" s="10" t="str">
        <f t="shared" si="6"/>
        <v> AAC 4.117 </v>
      </c>
      <c r="B56" s="15" t="str">
        <f t="shared" si="7"/>
        <v>I</v>
      </c>
      <c r="C56" s="10">
        <f t="shared" si="8"/>
        <v>32677.377</v>
      </c>
      <c r="D56" s="13" t="str">
        <f t="shared" si="9"/>
        <v>vis</v>
      </c>
      <c r="E56" s="48">
        <f>VLOOKUP(C56,Active!C$21:E$967,3,FALSE)</f>
        <v>-350.01147189279658</v>
      </c>
      <c r="F56" s="15" t="s">
        <v>81</v>
      </c>
      <c r="G56" s="13" t="str">
        <f t="shared" si="10"/>
        <v>32677.377</v>
      </c>
      <c r="H56" s="10">
        <f t="shared" si="11"/>
        <v>-350</v>
      </c>
      <c r="I56" s="49" t="s">
        <v>119</v>
      </c>
      <c r="J56" s="50" t="s">
        <v>120</v>
      </c>
      <c r="K56" s="49">
        <v>-350</v>
      </c>
      <c r="L56" s="49" t="s">
        <v>121</v>
      </c>
      <c r="M56" s="50" t="s">
        <v>87</v>
      </c>
      <c r="N56" s="50"/>
      <c r="O56" s="51" t="s">
        <v>122</v>
      </c>
      <c r="P56" s="51" t="s">
        <v>123</v>
      </c>
    </row>
    <row r="57" spans="1:16" ht="12.75" customHeight="1" thickBot="1" x14ac:dyDescent="0.25">
      <c r="A57" s="10" t="str">
        <f t="shared" si="6"/>
        <v> AAC 5.74 </v>
      </c>
      <c r="B57" s="15" t="str">
        <f t="shared" si="7"/>
        <v>I</v>
      </c>
      <c r="C57" s="10">
        <f t="shared" si="8"/>
        <v>33067.345999999998</v>
      </c>
      <c r="D57" s="13" t="str">
        <f t="shared" si="9"/>
        <v>vis</v>
      </c>
      <c r="E57" s="48">
        <f>VLOOKUP(C57,Active!C$21:E$967,3,FALSE)</f>
        <v>-161.00925127943009</v>
      </c>
      <c r="F57" s="15" t="s">
        <v>81</v>
      </c>
      <c r="G57" s="13" t="str">
        <f t="shared" si="10"/>
        <v>33067.346</v>
      </c>
      <c r="H57" s="10">
        <f t="shared" si="11"/>
        <v>-161</v>
      </c>
      <c r="I57" s="49" t="s">
        <v>124</v>
      </c>
      <c r="J57" s="50" t="s">
        <v>125</v>
      </c>
      <c r="K57" s="49">
        <v>-161</v>
      </c>
      <c r="L57" s="49" t="s">
        <v>126</v>
      </c>
      <c r="M57" s="50" t="s">
        <v>87</v>
      </c>
      <c r="N57" s="50"/>
      <c r="O57" s="51" t="s">
        <v>122</v>
      </c>
      <c r="P57" s="51" t="s">
        <v>127</v>
      </c>
    </row>
    <row r="58" spans="1:16" ht="12.75" customHeight="1" thickBot="1" x14ac:dyDescent="0.25">
      <c r="A58" s="10" t="str">
        <f t="shared" si="6"/>
        <v> BRNO 14 </v>
      </c>
      <c r="B58" s="15" t="str">
        <f t="shared" si="7"/>
        <v>I</v>
      </c>
      <c r="C58" s="10">
        <f t="shared" si="8"/>
        <v>41089.49</v>
      </c>
      <c r="D58" s="13" t="str">
        <f t="shared" si="9"/>
        <v>vis</v>
      </c>
      <c r="E58" s="48">
        <f>VLOOKUP(C58,Active!C$21:E$967,3,FALSE)</f>
        <v>3726.9998727283873</v>
      </c>
      <c r="F58" s="15" t="s">
        <v>81</v>
      </c>
      <c r="G58" s="13" t="str">
        <f t="shared" si="10"/>
        <v>41089.490</v>
      </c>
      <c r="H58" s="10">
        <f t="shared" si="11"/>
        <v>3727</v>
      </c>
      <c r="I58" s="49" t="s">
        <v>131</v>
      </c>
      <c r="J58" s="50" t="s">
        <v>132</v>
      </c>
      <c r="K58" s="49">
        <v>3727</v>
      </c>
      <c r="L58" s="49" t="s">
        <v>133</v>
      </c>
      <c r="M58" s="50" t="s">
        <v>87</v>
      </c>
      <c r="N58" s="50"/>
      <c r="O58" s="51" t="s">
        <v>134</v>
      </c>
      <c r="P58" s="51" t="s">
        <v>135</v>
      </c>
    </row>
    <row r="59" spans="1:16" ht="12.75" customHeight="1" thickBot="1" x14ac:dyDescent="0.25">
      <c r="A59" s="10" t="str">
        <f t="shared" si="6"/>
        <v> BBS 123 </v>
      </c>
      <c r="B59" s="15" t="str">
        <f t="shared" si="7"/>
        <v>I</v>
      </c>
      <c r="C59" s="10">
        <f t="shared" si="8"/>
        <v>51715.512999999999</v>
      </c>
      <c r="D59" s="13" t="str">
        <f t="shared" si="9"/>
        <v>vis</v>
      </c>
      <c r="E59" s="48">
        <f>VLOOKUP(C59,Active!C$21:E$967,3,FALSE)</f>
        <v>8877.003958408839</v>
      </c>
      <c r="F59" s="15" t="s">
        <v>81</v>
      </c>
      <c r="G59" s="13" t="str">
        <f t="shared" si="10"/>
        <v>51715.513</v>
      </c>
      <c r="H59" s="10">
        <f t="shared" si="11"/>
        <v>8877</v>
      </c>
      <c r="I59" s="49" t="s">
        <v>235</v>
      </c>
      <c r="J59" s="50" t="s">
        <v>236</v>
      </c>
      <c r="K59" s="49">
        <v>8877</v>
      </c>
      <c r="L59" s="49" t="s">
        <v>237</v>
      </c>
      <c r="M59" s="50" t="s">
        <v>221</v>
      </c>
      <c r="N59" s="50" t="s">
        <v>222</v>
      </c>
      <c r="O59" s="51" t="s">
        <v>191</v>
      </c>
      <c r="P59" s="51" t="s">
        <v>238</v>
      </c>
    </row>
    <row r="60" spans="1:16" ht="12.75" customHeight="1" thickBot="1" x14ac:dyDescent="0.25">
      <c r="A60" s="10" t="str">
        <f t="shared" si="6"/>
        <v> AOEB 12 </v>
      </c>
      <c r="B60" s="15" t="str">
        <f t="shared" si="7"/>
        <v>I</v>
      </c>
      <c r="C60" s="10">
        <f t="shared" si="8"/>
        <v>51787.713000000003</v>
      </c>
      <c r="D60" s="13" t="str">
        <f t="shared" si="9"/>
        <v>vis</v>
      </c>
      <c r="E60" s="48">
        <f>VLOOKUP(C60,Active!C$21:E$967,3,FALSE)</f>
        <v>8911.9963817252719</v>
      </c>
      <c r="F60" s="15" t="s">
        <v>81</v>
      </c>
      <c r="G60" s="13" t="str">
        <f t="shared" si="10"/>
        <v>51787.713</v>
      </c>
      <c r="H60" s="10">
        <f t="shared" si="11"/>
        <v>8912</v>
      </c>
      <c r="I60" s="49" t="s">
        <v>239</v>
      </c>
      <c r="J60" s="50" t="s">
        <v>240</v>
      </c>
      <c r="K60" s="49">
        <v>8912</v>
      </c>
      <c r="L60" s="49" t="s">
        <v>97</v>
      </c>
      <c r="M60" s="50" t="s">
        <v>87</v>
      </c>
      <c r="N60" s="50"/>
      <c r="O60" s="51" t="s">
        <v>241</v>
      </c>
      <c r="P60" s="51" t="s">
        <v>242</v>
      </c>
    </row>
    <row r="61" spans="1:16" ht="12.75" customHeight="1" thickBot="1" x14ac:dyDescent="0.25">
      <c r="A61" s="10" t="str">
        <f t="shared" si="6"/>
        <v> AOEB 12 </v>
      </c>
      <c r="B61" s="15" t="str">
        <f t="shared" si="7"/>
        <v>I</v>
      </c>
      <c r="C61" s="10">
        <f t="shared" si="8"/>
        <v>52501.620300000002</v>
      </c>
      <c r="D61" s="13" t="str">
        <f t="shared" si="9"/>
        <v>vis</v>
      </c>
      <c r="E61" s="48">
        <f>VLOOKUP(C61,Active!C$21:E$967,3,FALSE)</f>
        <v>9257.9984101226401</v>
      </c>
      <c r="F61" s="15" t="s">
        <v>81</v>
      </c>
      <c r="G61" s="13" t="str">
        <f t="shared" si="10"/>
        <v>52501.6203</v>
      </c>
      <c r="H61" s="10">
        <f t="shared" si="11"/>
        <v>9258</v>
      </c>
      <c r="I61" s="49" t="s">
        <v>243</v>
      </c>
      <c r="J61" s="50" t="s">
        <v>244</v>
      </c>
      <c r="K61" s="49">
        <v>9258</v>
      </c>
      <c r="L61" s="49" t="s">
        <v>245</v>
      </c>
      <c r="M61" s="50" t="s">
        <v>231</v>
      </c>
      <c r="N61" s="50" t="s">
        <v>246</v>
      </c>
      <c r="O61" s="51" t="s">
        <v>153</v>
      </c>
      <c r="P61" s="51" t="s">
        <v>242</v>
      </c>
    </row>
    <row r="62" spans="1:16" ht="12.75" customHeight="1" thickBot="1" x14ac:dyDescent="0.25">
      <c r="A62" s="10" t="str">
        <f t="shared" si="6"/>
        <v>IBVS 5670 </v>
      </c>
      <c r="B62" s="15" t="str">
        <f t="shared" si="7"/>
        <v>I</v>
      </c>
      <c r="C62" s="10">
        <f t="shared" si="8"/>
        <v>53456.929300000003</v>
      </c>
      <c r="D62" s="13" t="str">
        <f t="shared" si="9"/>
        <v>vis</v>
      </c>
      <c r="E62" s="48" t="e">
        <f>VLOOKUP(C62,Active!C$21:E$967,3,FALSE)</f>
        <v>#N/A</v>
      </c>
      <c r="F62" s="15" t="s">
        <v>81</v>
      </c>
      <c r="G62" s="13" t="str">
        <f t="shared" si="10"/>
        <v>53456.9293</v>
      </c>
      <c r="H62" s="10">
        <f t="shared" si="11"/>
        <v>9721</v>
      </c>
      <c r="I62" s="49" t="s">
        <v>255</v>
      </c>
      <c r="J62" s="50" t="s">
        <v>256</v>
      </c>
      <c r="K62" s="49">
        <v>9721</v>
      </c>
      <c r="L62" s="49" t="s">
        <v>257</v>
      </c>
      <c r="M62" s="50" t="s">
        <v>221</v>
      </c>
      <c r="N62" s="50" t="s">
        <v>222</v>
      </c>
      <c r="O62" s="51" t="s">
        <v>258</v>
      </c>
      <c r="P62" s="52" t="s">
        <v>259</v>
      </c>
    </row>
    <row r="63" spans="1:16" ht="12.75" customHeight="1" thickBot="1" x14ac:dyDescent="0.25">
      <c r="A63" s="10" t="str">
        <f t="shared" si="6"/>
        <v> AOEB 12 </v>
      </c>
      <c r="B63" s="15" t="str">
        <f t="shared" si="7"/>
        <v>I</v>
      </c>
      <c r="C63" s="10">
        <f t="shared" si="8"/>
        <v>54232.734499999999</v>
      </c>
      <c r="D63" s="13" t="str">
        <f t="shared" si="9"/>
        <v>vis</v>
      </c>
      <c r="E63" s="48">
        <f>VLOOKUP(C63,Active!C$21:E$967,3,FALSE)</f>
        <v>10096.999530558709</v>
      </c>
      <c r="F63" s="15" t="s">
        <v>81</v>
      </c>
      <c r="G63" s="13" t="str">
        <f t="shared" si="10"/>
        <v>54232.7345</v>
      </c>
      <c r="H63" s="10">
        <f t="shared" si="11"/>
        <v>10097</v>
      </c>
      <c r="I63" s="49" t="s">
        <v>269</v>
      </c>
      <c r="J63" s="50" t="s">
        <v>270</v>
      </c>
      <c r="K63" s="49">
        <v>10097</v>
      </c>
      <c r="L63" s="49" t="s">
        <v>271</v>
      </c>
      <c r="M63" s="50" t="s">
        <v>231</v>
      </c>
      <c r="N63" s="50" t="s">
        <v>246</v>
      </c>
      <c r="O63" s="51" t="s">
        <v>153</v>
      </c>
      <c r="P63" s="51" t="s">
        <v>242</v>
      </c>
    </row>
    <row r="64" spans="1:16" ht="12.75" customHeight="1" thickBot="1" x14ac:dyDescent="0.25">
      <c r="A64" s="10" t="str">
        <f t="shared" si="6"/>
        <v> AOEB 12 </v>
      </c>
      <c r="B64" s="15" t="str">
        <f t="shared" si="7"/>
        <v>I</v>
      </c>
      <c r="C64" s="10">
        <f t="shared" si="8"/>
        <v>54265.7451</v>
      </c>
      <c r="D64" s="13" t="str">
        <f t="shared" si="9"/>
        <v>vis</v>
      </c>
      <c r="E64" s="48">
        <f>VLOOKUP(C64,Active!C$21:E$967,3,FALSE)</f>
        <v>10112.99843484028</v>
      </c>
      <c r="F64" s="15" t="s">
        <v>81</v>
      </c>
      <c r="G64" s="13" t="str">
        <f t="shared" si="10"/>
        <v>54265.7451</v>
      </c>
      <c r="H64" s="10">
        <f t="shared" si="11"/>
        <v>10113</v>
      </c>
      <c r="I64" s="49" t="s">
        <v>272</v>
      </c>
      <c r="J64" s="50" t="s">
        <v>273</v>
      </c>
      <c r="K64" s="49">
        <v>10113</v>
      </c>
      <c r="L64" s="49" t="s">
        <v>274</v>
      </c>
      <c r="M64" s="50" t="s">
        <v>231</v>
      </c>
      <c r="N64" s="50" t="s">
        <v>246</v>
      </c>
      <c r="O64" s="51" t="s">
        <v>275</v>
      </c>
      <c r="P64" s="51" t="s">
        <v>242</v>
      </c>
    </row>
    <row r="65" spans="1:16" ht="12.75" customHeight="1" thickBot="1" x14ac:dyDescent="0.25">
      <c r="A65" s="10" t="str">
        <f t="shared" si="6"/>
        <v>IBVS 5992 </v>
      </c>
      <c r="B65" s="15" t="str">
        <f t="shared" si="7"/>
        <v>I</v>
      </c>
      <c r="C65" s="10">
        <f t="shared" si="8"/>
        <v>55672.916700000002</v>
      </c>
      <c r="D65" s="13" t="str">
        <f t="shared" si="9"/>
        <v>vis</v>
      </c>
      <c r="E65" s="48">
        <f>VLOOKUP(C65,Active!C$21:E$967,3,FALSE)</f>
        <v>10794.997663456055</v>
      </c>
      <c r="F65" s="15" t="s">
        <v>81</v>
      </c>
      <c r="G65" s="13" t="str">
        <f t="shared" si="10"/>
        <v>55672.9167</v>
      </c>
      <c r="H65" s="10">
        <f t="shared" si="11"/>
        <v>10795</v>
      </c>
      <c r="I65" s="49" t="s">
        <v>285</v>
      </c>
      <c r="J65" s="50" t="s">
        <v>286</v>
      </c>
      <c r="K65" s="49">
        <v>10795</v>
      </c>
      <c r="L65" s="49" t="s">
        <v>287</v>
      </c>
      <c r="M65" s="50" t="s">
        <v>231</v>
      </c>
      <c r="N65" s="50" t="s">
        <v>81</v>
      </c>
      <c r="O65" s="51" t="s">
        <v>283</v>
      </c>
      <c r="P65" s="52" t="s">
        <v>288</v>
      </c>
    </row>
    <row r="66" spans="1:16" x14ac:dyDescent="0.2">
      <c r="B66" s="15"/>
      <c r="F66" s="15"/>
    </row>
    <row r="67" spans="1:16" x14ac:dyDescent="0.2">
      <c r="B67" s="15"/>
      <c r="F67" s="15"/>
    </row>
    <row r="68" spans="1:16" x14ac:dyDescent="0.2">
      <c r="B68" s="15"/>
      <c r="F68" s="15"/>
    </row>
    <row r="69" spans="1:16" x14ac:dyDescent="0.2">
      <c r="B69" s="15"/>
      <c r="F69" s="15"/>
    </row>
    <row r="70" spans="1:16" x14ac:dyDescent="0.2">
      <c r="B70" s="15"/>
      <c r="F70" s="15"/>
    </row>
    <row r="71" spans="1:16" x14ac:dyDescent="0.2">
      <c r="B71" s="15"/>
      <c r="F71" s="15"/>
    </row>
    <row r="72" spans="1:16" x14ac:dyDescent="0.2">
      <c r="B72" s="15"/>
      <c r="F72" s="15"/>
    </row>
    <row r="73" spans="1:16" x14ac:dyDescent="0.2">
      <c r="B73" s="15"/>
      <c r="F73" s="15"/>
    </row>
    <row r="74" spans="1:16" x14ac:dyDescent="0.2">
      <c r="B74" s="15"/>
      <c r="F74" s="15"/>
    </row>
    <row r="75" spans="1:16" x14ac:dyDescent="0.2">
      <c r="B75" s="15"/>
      <c r="F75" s="15"/>
    </row>
    <row r="76" spans="1:16" x14ac:dyDescent="0.2">
      <c r="B76" s="15"/>
      <c r="F76" s="15"/>
    </row>
    <row r="77" spans="1:16" x14ac:dyDescent="0.2">
      <c r="B77" s="15"/>
      <c r="F77" s="15"/>
    </row>
    <row r="78" spans="1:16" x14ac:dyDescent="0.2">
      <c r="B78" s="15"/>
      <c r="F78" s="15"/>
    </row>
    <row r="79" spans="1:16" x14ac:dyDescent="0.2">
      <c r="B79" s="15"/>
      <c r="F79" s="15"/>
    </row>
    <row r="80" spans="1:1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</sheetData>
  <phoneticPr fontId="8" type="noConversion"/>
  <hyperlinks>
    <hyperlink ref="P38" r:id="rId1" display="http://var.astro.cz/oejv/issues/oejv0060.pdf"/>
    <hyperlink ref="P39" r:id="rId2" display="http://var.astro.cz/oejv/issues/oejv0074.pdf"/>
    <hyperlink ref="P40" r:id="rId3" display="http://www.konkoly.hu/cgi-bin/IBVS?5577"/>
    <hyperlink ref="P41" r:id="rId4" display="http://www.konkoly.hu/cgi-bin/IBVS?5577"/>
    <hyperlink ref="P62" r:id="rId5" display="http://www.konkoly.hu/cgi-bin/IBVS?5670"/>
    <hyperlink ref="P42" r:id="rId6" display="http://www.konkoly.hu/cgi-bin/IBVS?5670"/>
    <hyperlink ref="P43" r:id="rId7" display="http://www.konkoly.hu/cgi-bin/IBVS?5636"/>
    <hyperlink ref="P44" r:id="rId8" display="http://www.aavso.org/sites/default/files/jaavso/v36n2/186.pdf"/>
    <hyperlink ref="P45" r:id="rId9" display="http://www.konkoly.hu/cgi-bin/IBVS?5894"/>
    <hyperlink ref="P65" r:id="rId10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2023-01-20T06:19:45Z</dcterms:modified>
</cp:coreProperties>
</file>