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C0FD11E-FBCC-492B-A7FE-C9DFB2D10277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4" r:id="rId1"/>
    <sheet name="B" sheetId="2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E84" i="4" l="1"/>
  <c r="F84" i="4" s="1"/>
  <c r="G84" i="4" s="1"/>
  <c r="K84" i="4" s="1"/>
  <c r="Q84" i="4"/>
  <c r="E85" i="4"/>
  <c r="F85" i="4" s="1"/>
  <c r="G85" i="4" s="1"/>
  <c r="K85" i="4" s="1"/>
  <c r="Q85" i="4"/>
  <c r="Q82" i="4"/>
  <c r="Q83" i="4"/>
  <c r="Q81" i="4"/>
  <c r="C7" i="4"/>
  <c r="E82" i="4" s="1"/>
  <c r="F82" i="4" s="1"/>
  <c r="G82" i="4" s="1"/>
  <c r="K82" i="4" s="1"/>
  <c r="C9" i="4"/>
  <c r="D9" i="4"/>
  <c r="F16" i="4"/>
  <c r="Q21" i="4"/>
  <c r="Q22" i="4"/>
  <c r="E23" i="4"/>
  <c r="F23" i="4" s="1"/>
  <c r="G23" i="4" s="1"/>
  <c r="K23" i="4" s="1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4" i="4"/>
  <c r="Q55" i="4"/>
  <c r="Q56" i="4"/>
  <c r="Q57" i="4"/>
  <c r="Q58" i="4"/>
  <c r="Q59" i="4"/>
  <c r="Q60" i="4"/>
  <c r="Q61" i="4"/>
  <c r="E62" i="4"/>
  <c r="F62" i="4" s="1"/>
  <c r="G62" i="4" s="1"/>
  <c r="K62" i="4" s="1"/>
  <c r="Q62" i="4"/>
  <c r="Q63" i="4"/>
  <c r="Q64" i="4"/>
  <c r="Q65" i="4"/>
  <c r="E66" i="4"/>
  <c r="F66" i="4" s="1"/>
  <c r="G66" i="4" s="1"/>
  <c r="K66" i="4" s="1"/>
  <c r="Q66" i="4"/>
  <c r="Q67" i="4"/>
  <c r="Q68" i="4"/>
  <c r="Q69" i="4"/>
  <c r="E70" i="4"/>
  <c r="F70" i="4" s="1"/>
  <c r="G70" i="4" s="1"/>
  <c r="K70" i="4" s="1"/>
  <c r="Q70" i="4"/>
  <c r="Q71" i="4"/>
  <c r="Q72" i="4"/>
  <c r="Q73" i="4"/>
  <c r="Q74" i="4"/>
  <c r="Q75" i="4"/>
  <c r="Q76" i="4"/>
  <c r="E77" i="4"/>
  <c r="F77" i="4" s="1"/>
  <c r="G77" i="4" s="1"/>
  <c r="K77" i="4" s="1"/>
  <c r="Q77" i="4"/>
  <c r="Q78" i="4"/>
  <c r="Q79" i="4"/>
  <c r="Q80" i="4"/>
  <c r="C7" i="1"/>
  <c r="E21" i="1"/>
  <c r="F21" i="1"/>
  <c r="C8" i="1"/>
  <c r="C15" i="1"/>
  <c r="S15" i="1"/>
  <c r="S16" i="1"/>
  <c r="S17" i="1"/>
  <c r="C18" i="1"/>
  <c r="C21" i="1"/>
  <c r="Q22" i="1"/>
  <c r="Q23" i="1"/>
  <c r="Q24" i="1"/>
  <c r="Q25" i="1"/>
  <c r="Q26" i="1"/>
  <c r="Q27" i="1"/>
  <c r="Q28" i="1"/>
  <c r="E29" i="1"/>
  <c r="F29" i="1"/>
  <c r="Q29" i="1"/>
  <c r="C7" i="2"/>
  <c r="E27" i="2"/>
  <c r="F27" i="2"/>
  <c r="C15" i="2"/>
  <c r="C18" i="2"/>
  <c r="C21" i="2"/>
  <c r="C19" i="2"/>
  <c r="E21" i="2"/>
  <c r="Q22" i="2"/>
  <c r="Q23" i="2"/>
  <c r="Q24" i="2"/>
  <c r="E25" i="2"/>
  <c r="F25" i="2"/>
  <c r="Q25" i="2"/>
  <c r="Q26" i="2"/>
  <c r="G27" i="2"/>
  <c r="I27" i="2"/>
  <c r="Q27" i="2"/>
  <c r="A11" i="3"/>
  <c r="C11" i="3"/>
  <c r="D11" i="3"/>
  <c r="G11" i="3"/>
  <c r="H11" i="3"/>
  <c r="B11" i="3"/>
  <c r="A12" i="3"/>
  <c r="B12" i="3"/>
  <c r="C12" i="3"/>
  <c r="D12" i="3"/>
  <c r="G12" i="3"/>
  <c r="H12" i="3"/>
  <c r="A13" i="3"/>
  <c r="B13" i="3"/>
  <c r="C13" i="3"/>
  <c r="D13" i="3"/>
  <c r="G13" i="3"/>
  <c r="H13" i="3"/>
  <c r="A14" i="3"/>
  <c r="C14" i="3"/>
  <c r="D14" i="3"/>
  <c r="G14" i="3"/>
  <c r="H14" i="3"/>
  <c r="B14" i="3"/>
  <c r="A15" i="3"/>
  <c r="C15" i="3"/>
  <c r="D15" i="3"/>
  <c r="G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C19" i="3"/>
  <c r="D19" i="3"/>
  <c r="G19" i="3"/>
  <c r="H19" i="3"/>
  <c r="B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C23" i="3"/>
  <c r="D23" i="3"/>
  <c r="G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C27" i="3"/>
  <c r="D27" i="3"/>
  <c r="G27" i="3"/>
  <c r="H27" i="3"/>
  <c r="B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C31" i="3"/>
  <c r="D31" i="3"/>
  <c r="G31" i="3"/>
  <c r="H31" i="3"/>
  <c r="B31" i="3"/>
  <c r="A32" i="3"/>
  <c r="D32" i="3"/>
  <c r="G32" i="3"/>
  <c r="C32" i="3"/>
  <c r="H32" i="3"/>
  <c r="B32" i="3"/>
  <c r="A33" i="3"/>
  <c r="D33" i="3"/>
  <c r="G33" i="3"/>
  <c r="C33" i="3"/>
  <c r="H33" i="3"/>
  <c r="B33" i="3"/>
  <c r="A34" i="3"/>
  <c r="C34" i="3"/>
  <c r="D34" i="3"/>
  <c r="G34" i="3"/>
  <c r="H34" i="3"/>
  <c r="B34" i="3"/>
  <c r="A35" i="3"/>
  <c r="C35" i="3"/>
  <c r="D35" i="3"/>
  <c r="G35" i="3"/>
  <c r="H35" i="3"/>
  <c r="B35" i="3"/>
  <c r="A36" i="3"/>
  <c r="B36" i="3"/>
  <c r="C36" i="3"/>
  <c r="D36" i="3"/>
  <c r="G36" i="3"/>
  <c r="H36" i="3"/>
  <c r="A37" i="3"/>
  <c r="B37" i="3"/>
  <c r="C37" i="3"/>
  <c r="D37" i="3"/>
  <c r="G37" i="3"/>
  <c r="H37" i="3"/>
  <c r="A38" i="3"/>
  <c r="C38" i="3"/>
  <c r="D38" i="3"/>
  <c r="G38" i="3"/>
  <c r="H38" i="3"/>
  <c r="B38" i="3"/>
  <c r="A39" i="3"/>
  <c r="C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C42" i="3"/>
  <c r="D42" i="3"/>
  <c r="G42" i="3"/>
  <c r="H42" i="3"/>
  <c r="B42" i="3"/>
  <c r="A43" i="3"/>
  <c r="C43" i="3"/>
  <c r="D43" i="3"/>
  <c r="G43" i="3"/>
  <c r="H43" i="3"/>
  <c r="B43" i="3"/>
  <c r="A44" i="3"/>
  <c r="B44" i="3"/>
  <c r="C44" i="3"/>
  <c r="D44" i="3"/>
  <c r="G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C47" i="3"/>
  <c r="D47" i="3"/>
  <c r="G47" i="3"/>
  <c r="H47" i="3"/>
  <c r="B47" i="3"/>
  <c r="A48" i="3"/>
  <c r="D48" i="3"/>
  <c r="G48" i="3"/>
  <c r="C48" i="3"/>
  <c r="H48" i="3"/>
  <c r="B48" i="3"/>
  <c r="A49" i="3"/>
  <c r="B49" i="3"/>
  <c r="D49" i="3"/>
  <c r="G49" i="3"/>
  <c r="C49" i="3"/>
  <c r="H49" i="3"/>
  <c r="A50" i="3"/>
  <c r="C50" i="3"/>
  <c r="D50" i="3"/>
  <c r="G50" i="3"/>
  <c r="H50" i="3"/>
  <c r="B50" i="3"/>
  <c r="A51" i="3"/>
  <c r="C51" i="3"/>
  <c r="D51" i="3"/>
  <c r="G51" i="3"/>
  <c r="H51" i="3"/>
  <c r="B51" i="3"/>
  <c r="A52" i="3"/>
  <c r="B52" i="3"/>
  <c r="C52" i="3"/>
  <c r="D52" i="3"/>
  <c r="G52" i="3"/>
  <c r="H52" i="3"/>
  <c r="A53" i="3"/>
  <c r="B53" i="3"/>
  <c r="C53" i="3"/>
  <c r="D53" i="3"/>
  <c r="G53" i="3"/>
  <c r="H53" i="3"/>
  <c r="A54" i="3"/>
  <c r="C54" i="3"/>
  <c r="D54" i="3"/>
  <c r="G54" i="3"/>
  <c r="H54" i="3"/>
  <c r="B54" i="3"/>
  <c r="A55" i="3"/>
  <c r="C55" i="3"/>
  <c r="D55" i="3"/>
  <c r="G55" i="3"/>
  <c r="H55" i="3"/>
  <c r="B55" i="3"/>
  <c r="A56" i="3"/>
  <c r="D56" i="3"/>
  <c r="G56" i="3"/>
  <c r="C56" i="3"/>
  <c r="H56" i="3"/>
  <c r="B56" i="3"/>
  <c r="A57" i="3"/>
  <c r="B57" i="3"/>
  <c r="D57" i="3"/>
  <c r="G57" i="3"/>
  <c r="C57" i="3"/>
  <c r="H57" i="3"/>
  <c r="A58" i="3"/>
  <c r="C58" i="3"/>
  <c r="D58" i="3"/>
  <c r="G58" i="3"/>
  <c r="H58" i="3"/>
  <c r="B58" i="3"/>
  <c r="G21" i="1"/>
  <c r="G22" i="1"/>
  <c r="I22" i="1"/>
  <c r="E28" i="1"/>
  <c r="F28" i="1"/>
  <c r="G28" i="1"/>
  <c r="I28" i="1"/>
  <c r="E27" i="1"/>
  <c r="F27" i="1"/>
  <c r="G29" i="1"/>
  <c r="I29" i="1"/>
  <c r="E25" i="1"/>
  <c r="F25" i="1"/>
  <c r="G27" i="1"/>
  <c r="I27" i="1"/>
  <c r="E24" i="1"/>
  <c r="F24" i="1"/>
  <c r="G24" i="1"/>
  <c r="I24" i="1"/>
  <c r="E23" i="1"/>
  <c r="F23" i="1"/>
  <c r="G23" i="1"/>
  <c r="I23" i="1"/>
  <c r="G25" i="1"/>
  <c r="I25" i="1"/>
  <c r="E22" i="1"/>
  <c r="F22" i="1"/>
  <c r="E26" i="1"/>
  <c r="F26" i="1"/>
  <c r="G26" i="1"/>
  <c r="I26" i="1"/>
  <c r="E22" i="2"/>
  <c r="F22" i="2"/>
  <c r="G22" i="2"/>
  <c r="C19" i="1"/>
  <c r="G25" i="2"/>
  <c r="I25" i="2"/>
  <c r="E23" i="2"/>
  <c r="F23" i="2"/>
  <c r="G23" i="2"/>
  <c r="I23" i="2"/>
  <c r="Q21" i="2"/>
  <c r="Q21" i="1"/>
  <c r="E24" i="2"/>
  <c r="F24" i="2"/>
  <c r="G24" i="2"/>
  <c r="I24" i="2"/>
  <c r="E26" i="2"/>
  <c r="F26" i="2"/>
  <c r="G26" i="2"/>
  <c r="I26" i="2"/>
  <c r="C11" i="1"/>
  <c r="C12" i="1"/>
  <c r="C16" i="1"/>
  <c r="D18" i="1"/>
  <c r="H21" i="1"/>
  <c r="C12" i="2"/>
  <c r="C16" i="2"/>
  <c r="D18" i="2"/>
  <c r="I22" i="2"/>
  <c r="C11" i="2"/>
  <c r="O23" i="2"/>
  <c r="R23" i="2"/>
  <c r="O22" i="2"/>
  <c r="R22" i="2"/>
  <c r="O21" i="2"/>
  <c r="O27" i="2"/>
  <c r="R27" i="2"/>
  <c r="O26" i="2"/>
  <c r="R26" i="2"/>
  <c r="O25" i="2"/>
  <c r="R25" i="2"/>
  <c r="O24" i="2"/>
  <c r="R24" i="2"/>
  <c r="O24" i="1"/>
  <c r="R24" i="1"/>
  <c r="O23" i="1"/>
  <c r="R23" i="1"/>
  <c r="O21" i="1"/>
  <c r="R21" i="1"/>
  <c r="O29" i="1"/>
  <c r="R29" i="1"/>
  <c r="O28" i="1"/>
  <c r="R28" i="1"/>
  <c r="O27" i="1"/>
  <c r="R27" i="1"/>
  <c r="O26" i="1"/>
  <c r="R26" i="1"/>
  <c r="O22" i="1"/>
  <c r="R22" i="1"/>
  <c r="O25" i="1"/>
  <c r="R25" i="1"/>
  <c r="R15" i="1"/>
  <c r="R17" i="1"/>
  <c r="R16" i="1"/>
  <c r="R16" i="2"/>
  <c r="R15" i="2"/>
  <c r="R17" i="2"/>
  <c r="E59" i="4" l="1"/>
  <c r="F59" i="4" s="1"/>
  <c r="G59" i="4" s="1"/>
  <c r="K59" i="4" s="1"/>
  <c r="E55" i="4"/>
  <c r="F55" i="4" s="1"/>
  <c r="G55" i="4" s="1"/>
  <c r="J55" i="4" s="1"/>
  <c r="E50" i="4"/>
  <c r="F50" i="4" s="1"/>
  <c r="G50" i="4" s="1"/>
  <c r="K50" i="4" s="1"/>
  <c r="E46" i="4"/>
  <c r="F46" i="4" s="1"/>
  <c r="G46" i="4" s="1"/>
  <c r="J46" i="4" s="1"/>
  <c r="E42" i="4"/>
  <c r="F42" i="4" s="1"/>
  <c r="G42" i="4" s="1"/>
  <c r="K42" i="4" s="1"/>
  <c r="E38" i="4"/>
  <c r="F38" i="4" s="1"/>
  <c r="G38" i="4" s="1"/>
  <c r="K38" i="4" s="1"/>
  <c r="E35" i="4"/>
  <c r="F35" i="4" s="1"/>
  <c r="G35" i="4" s="1"/>
  <c r="K35" i="4" s="1"/>
  <c r="E31" i="4"/>
  <c r="E27" i="4"/>
  <c r="F27" i="4" s="1"/>
  <c r="G27" i="4" s="1"/>
  <c r="K27" i="4" s="1"/>
  <c r="E37" i="3"/>
  <c r="E73" i="4"/>
  <c r="F73" i="4" s="1"/>
  <c r="G73" i="4" s="1"/>
  <c r="K73" i="4" s="1"/>
  <c r="E58" i="4"/>
  <c r="F58" i="4" s="1"/>
  <c r="G58" i="4" s="1"/>
  <c r="K58" i="4" s="1"/>
  <c r="E54" i="4"/>
  <c r="F54" i="4" s="1"/>
  <c r="G54" i="4" s="1"/>
  <c r="K54" i="4" s="1"/>
  <c r="E49" i="4"/>
  <c r="F49" i="4" s="1"/>
  <c r="G49" i="4" s="1"/>
  <c r="J49" i="4" s="1"/>
  <c r="E45" i="4"/>
  <c r="F45" i="4" s="1"/>
  <c r="G45" i="4" s="1"/>
  <c r="K45" i="4" s="1"/>
  <c r="E41" i="4"/>
  <c r="F41" i="4" s="1"/>
  <c r="G41" i="4" s="1"/>
  <c r="K41" i="4" s="1"/>
  <c r="E34" i="4"/>
  <c r="E30" i="4"/>
  <c r="F30" i="4" s="1"/>
  <c r="G30" i="4" s="1"/>
  <c r="J30" i="4" s="1"/>
  <c r="E26" i="4"/>
  <c r="F26" i="4" s="1"/>
  <c r="G26" i="4" s="1"/>
  <c r="K26" i="4" s="1"/>
  <c r="E80" i="4"/>
  <c r="F80" i="4" s="1"/>
  <c r="G80" i="4" s="1"/>
  <c r="K80" i="4" s="1"/>
  <c r="E76" i="4"/>
  <c r="F76" i="4" s="1"/>
  <c r="G76" i="4" s="1"/>
  <c r="K76" i="4" s="1"/>
  <c r="E69" i="4"/>
  <c r="F69" i="4" s="1"/>
  <c r="G69" i="4" s="1"/>
  <c r="K69" i="4" s="1"/>
  <c r="E65" i="4"/>
  <c r="F65" i="4" s="1"/>
  <c r="G65" i="4" s="1"/>
  <c r="K65" i="4" s="1"/>
  <c r="E37" i="4"/>
  <c r="F37" i="4" s="1"/>
  <c r="G37" i="4" s="1"/>
  <c r="J37" i="4" s="1"/>
  <c r="E22" i="4"/>
  <c r="F22" i="4" s="1"/>
  <c r="G22" i="4" s="1"/>
  <c r="K22" i="4" s="1"/>
  <c r="E81" i="4"/>
  <c r="F81" i="4" s="1"/>
  <c r="G81" i="4" s="1"/>
  <c r="K81" i="4" s="1"/>
  <c r="E72" i="4"/>
  <c r="F72" i="4" s="1"/>
  <c r="G72" i="4" s="1"/>
  <c r="K72" i="4" s="1"/>
  <c r="E61" i="4"/>
  <c r="F61" i="4" s="1"/>
  <c r="G61" i="4" s="1"/>
  <c r="K61" i="4" s="1"/>
  <c r="E57" i="4"/>
  <c r="F57" i="4" s="1"/>
  <c r="G57" i="4" s="1"/>
  <c r="K57" i="4" s="1"/>
  <c r="E52" i="4"/>
  <c r="F52" i="4" s="1"/>
  <c r="G52" i="4" s="1"/>
  <c r="K52" i="4" s="1"/>
  <c r="E48" i="4"/>
  <c r="F48" i="4" s="1"/>
  <c r="G48" i="4" s="1"/>
  <c r="K48" i="4" s="1"/>
  <c r="E44" i="4"/>
  <c r="F44" i="4" s="1"/>
  <c r="G44" i="4" s="1"/>
  <c r="K44" i="4" s="1"/>
  <c r="E40" i="4"/>
  <c r="F40" i="4" s="1"/>
  <c r="G40" i="4" s="1"/>
  <c r="K40" i="4" s="1"/>
  <c r="E33" i="4"/>
  <c r="F33" i="4" s="1"/>
  <c r="G33" i="4" s="1"/>
  <c r="K33" i="4" s="1"/>
  <c r="E29" i="4"/>
  <c r="F29" i="4" s="1"/>
  <c r="G29" i="4" s="1"/>
  <c r="K29" i="4" s="1"/>
  <c r="E79" i="4"/>
  <c r="F79" i="4" s="1"/>
  <c r="G79" i="4" s="1"/>
  <c r="K79" i="4" s="1"/>
  <c r="E75" i="4"/>
  <c r="F75" i="4" s="1"/>
  <c r="G75" i="4" s="1"/>
  <c r="K75" i="4" s="1"/>
  <c r="E68" i="4"/>
  <c r="F68" i="4" s="1"/>
  <c r="G68" i="4" s="1"/>
  <c r="K68" i="4" s="1"/>
  <c r="E64" i="4"/>
  <c r="F64" i="4" s="1"/>
  <c r="G64" i="4" s="1"/>
  <c r="K64" i="4" s="1"/>
  <c r="E25" i="4"/>
  <c r="E21" i="4"/>
  <c r="E83" i="4"/>
  <c r="F83" i="4" s="1"/>
  <c r="G83" i="4" s="1"/>
  <c r="K83" i="4" s="1"/>
  <c r="E60" i="4"/>
  <c r="F60" i="4" s="1"/>
  <c r="G60" i="4" s="1"/>
  <c r="K60" i="4" s="1"/>
  <c r="E56" i="4"/>
  <c r="F56" i="4" s="1"/>
  <c r="G56" i="4" s="1"/>
  <c r="K56" i="4" s="1"/>
  <c r="E51" i="4"/>
  <c r="F51" i="4" s="1"/>
  <c r="G51" i="4" s="1"/>
  <c r="K51" i="4" s="1"/>
  <c r="E47" i="4"/>
  <c r="F47" i="4" s="1"/>
  <c r="G47" i="4" s="1"/>
  <c r="K47" i="4" s="1"/>
  <c r="E43" i="4"/>
  <c r="F43" i="4" s="1"/>
  <c r="G43" i="4" s="1"/>
  <c r="K43" i="4" s="1"/>
  <c r="E39" i="4"/>
  <c r="F39" i="4" s="1"/>
  <c r="G39" i="4" s="1"/>
  <c r="K39" i="4" s="1"/>
  <c r="E36" i="4"/>
  <c r="F36" i="4" s="1"/>
  <c r="G36" i="4" s="1"/>
  <c r="K36" i="4" s="1"/>
  <c r="E32" i="4"/>
  <c r="E28" i="4"/>
  <c r="F28" i="4" s="1"/>
  <c r="G28" i="4" s="1"/>
  <c r="K28" i="4" s="1"/>
  <c r="F17" i="4"/>
  <c r="E78" i="4"/>
  <c r="F78" i="4" s="1"/>
  <c r="G78" i="4" s="1"/>
  <c r="K78" i="4" s="1"/>
  <c r="E74" i="4"/>
  <c r="F74" i="4" s="1"/>
  <c r="G74" i="4" s="1"/>
  <c r="K74" i="4" s="1"/>
  <c r="E71" i="4"/>
  <c r="F71" i="4" s="1"/>
  <c r="G71" i="4" s="1"/>
  <c r="K71" i="4" s="1"/>
  <c r="E67" i="4"/>
  <c r="F67" i="4" s="1"/>
  <c r="G67" i="4" s="1"/>
  <c r="K67" i="4" s="1"/>
  <c r="E63" i="4"/>
  <c r="F63" i="4" s="1"/>
  <c r="G63" i="4" s="1"/>
  <c r="K63" i="4" s="1"/>
  <c r="E24" i="4"/>
  <c r="F24" i="4"/>
  <c r="G24" i="4" s="1"/>
  <c r="E13" i="3"/>
  <c r="F31" i="4"/>
  <c r="G31" i="4" s="1"/>
  <c r="K31" i="4" s="1"/>
  <c r="E42" i="3"/>
  <c r="E16" i="3"/>
  <c r="E14" i="3"/>
  <c r="E39" i="3"/>
  <c r="E41" i="3"/>
  <c r="E40" i="3"/>
  <c r="E12" i="3"/>
  <c r="E38" i="3" l="1"/>
  <c r="F25" i="4"/>
  <c r="G25" i="4" s="1"/>
  <c r="K25" i="4" s="1"/>
  <c r="F32" i="4"/>
  <c r="G32" i="4" s="1"/>
  <c r="K32" i="4" s="1"/>
  <c r="E15" i="3"/>
  <c r="F21" i="4"/>
  <c r="G21" i="4" s="1"/>
  <c r="E11" i="3"/>
  <c r="F34" i="4"/>
  <c r="G34" i="4" s="1"/>
  <c r="K34" i="4" s="1"/>
  <c r="E43" i="3"/>
  <c r="J24" i="4"/>
  <c r="C11" i="4"/>
  <c r="C12" i="4"/>
  <c r="O85" i="4" l="1"/>
  <c r="S85" i="4" s="1"/>
  <c r="O84" i="4"/>
  <c r="S84" i="4" s="1"/>
  <c r="O56" i="4"/>
  <c r="S56" i="4" s="1"/>
  <c r="O62" i="4"/>
  <c r="S62" i="4" s="1"/>
  <c r="O74" i="4"/>
  <c r="S74" i="4" s="1"/>
  <c r="O83" i="4"/>
  <c r="S83" i="4" s="1"/>
  <c r="O77" i="4"/>
  <c r="S77" i="4" s="1"/>
  <c r="O37" i="4"/>
  <c r="S37" i="4" s="1"/>
  <c r="O49" i="4"/>
  <c r="S49" i="4" s="1"/>
  <c r="O80" i="4"/>
  <c r="S80" i="4" s="1"/>
  <c r="O68" i="4"/>
  <c r="S68" i="4" s="1"/>
  <c r="O43" i="4"/>
  <c r="S43" i="4" s="1"/>
  <c r="O46" i="4"/>
  <c r="S46" i="4" s="1"/>
  <c r="O44" i="4"/>
  <c r="S44" i="4" s="1"/>
  <c r="O59" i="4"/>
  <c r="S59" i="4" s="1"/>
  <c r="O81" i="4"/>
  <c r="S81" i="4" s="1"/>
  <c r="O82" i="4"/>
  <c r="S82" i="4" s="1"/>
  <c r="O64" i="4"/>
  <c r="S64" i="4" s="1"/>
  <c r="O30" i="4"/>
  <c r="S30" i="4" s="1"/>
  <c r="O41" i="4"/>
  <c r="S41" i="4" s="1"/>
  <c r="O58" i="4"/>
  <c r="S58" i="4" s="1"/>
  <c r="C15" i="4"/>
  <c r="O61" i="4"/>
  <c r="S61" i="4" s="1"/>
  <c r="O57" i="4"/>
  <c r="S57" i="4" s="1"/>
  <c r="O25" i="4"/>
  <c r="S25" i="4" s="1"/>
  <c r="O75" i="4"/>
  <c r="S75" i="4" s="1"/>
  <c r="O70" i="4"/>
  <c r="S70" i="4" s="1"/>
  <c r="O28" i="4"/>
  <c r="S28" i="4" s="1"/>
  <c r="O72" i="4"/>
  <c r="S72" i="4" s="1"/>
  <c r="O76" i="4"/>
  <c r="S76" i="4" s="1"/>
  <c r="O79" i="4"/>
  <c r="S79" i="4" s="1"/>
  <c r="O69" i="4"/>
  <c r="S69" i="4" s="1"/>
  <c r="O23" i="4"/>
  <c r="S23" i="4" s="1"/>
  <c r="O35" i="4"/>
  <c r="S35" i="4" s="1"/>
  <c r="O66" i="4"/>
  <c r="S66" i="4" s="1"/>
  <c r="O63" i="4"/>
  <c r="S63" i="4" s="1"/>
  <c r="O67" i="4"/>
  <c r="S67" i="4" s="1"/>
  <c r="O53" i="4"/>
  <c r="O40" i="4"/>
  <c r="S40" i="4" s="1"/>
  <c r="O34" i="4"/>
  <c r="S34" i="4" s="1"/>
  <c r="O32" i="4"/>
  <c r="S32" i="4" s="1"/>
  <c r="O29" i="4"/>
  <c r="S29" i="4" s="1"/>
  <c r="O38" i="4"/>
  <c r="S38" i="4" s="1"/>
  <c r="O52" i="4"/>
  <c r="S52" i="4" s="1"/>
  <c r="O65" i="4"/>
  <c r="S65" i="4" s="1"/>
  <c r="O26" i="4"/>
  <c r="S26" i="4" s="1"/>
  <c r="O47" i="4"/>
  <c r="S47" i="4" s="1"/>
  <c r="O50" i="4"/>
  <c r="S50" i="4" s="1"/>
  <c r="O45" i="4"/>
  <c r="S45" i="4" s="1"/>
  <c r="O51" i="4"/>
  <c r="S51" i="4" s="1"/>
  <c r="O39" i="4"/>
  <c r="S39" i="4" s="1"/>
  <c r="O54" i="4"/>
  <c r="S54" i="4" s="1"/>
  <c r="O48" i="4"/>
  <c r="S48" i="4" s="1"/>
  <c r="O31" i="4"/>
  <c r="S31" i="4" s="1"/>
  <c r="O73" i="4"/>
  <c r="S73" i="4" s="1"/>
  <c r="O21" i="4"/>
  <c r="S21" i="4" s="1"/>
  <c r="O78" i="4"/>
  <c r="S78" i="4" s="1"/>
  <c r="O22" i="4"/>
  <c r="S22" i="4" s="1"/>
  <c r="O55" i="4"/>
  <c r="S55" i="4" s="1"/>
  <c r="O42" i="4"/>
  <c r="S42" i="4" s="1"/>
  <c r="O24" i="4"/>
  <c r="S24" i="4" s="1"/>
  <c r="O27" i="4"/>
  <c r="S27" i="4" s="1"/>
  <c r="O60" i="4"/>
  <c r="S60" i="4" s="1"/>
  <c r="O33" i="4"/>
  <c r="S33" i="4" s="1"/>
  <c r="O71" i="4"/>
  <c r="S71" i="4" s="1"/>
  <c r="O36" i="4"/>
  <c r="S36" i="4" s="1"/>
  <c r="C16" i="4"/>
  <c r="D18" i="4" s="1"/>
  <c r="K21" i="4"/>
  <c r="E45" i="3"/>
  <c r="E51" i="3"/>
  <c r="E18" i="3"/>
  <c r="E17" i="3"/>
  <c r="E55" i="3"/>
  <c r="E47" i="3"/>
  <c r="E54" i="3"/>
  <c r="E44" i="3"/>
  <c r="E19" i="3"/>
  <c r="E22" i="3"/>
  <c r="E20" i="3"/>
  <c r="E50" i="3"/>
  <c r="E53" i="3"/>
  <c r="E49" i="3"/>
  <c r="E46" i="3"/>
  <c r="E48" i="3"/>
  <c r="E21" i="3"/>
  <c r="C18" i="4" l="1"/>
  <c r="C53" i="4" s="1"/>
  <c r="F18" i="4"/>
  <c r="F19" i="4" s="1"/>
  <c r="E26" i="3" l="1"/>
  <c r="E23" i="3"/>
  <c r="C17" i="4"/>
  <c r="E31" i="3"/>
  <c r="Q53" i="4"/>
  <c r="E24" i="3"/>
  <c r="E32" i="3"/>
  <c r="E34" i="3"/>
  <c r="E25" i="3"/>
  <c r="E36" i="3"/>
  <c r="E35" i="3"/>
  <c r="E57" i="3"/>
  <c r="E28" i="3"/>
  <c r="E33" i="3"/>
  <c r="E53" i="4"/>
  <c r="E29" i="3"/>
  <c r="E30" i="3"/>
  <c r="E52" i="3"/>
  <c r="E58" i="3"/>
  <c r="E56" i="3"/>
  <c r="E27" i="3"/>
</calcChain>
</file>

<file path=xl/sharedStrings.xml><?xml version="1.0" encoding="utf-8"?>
<sst xmlns="http://schemas.openxmlformats.org/spreadsheetml/2006/main" count="707" uniqueCount="337">
  <si>
    <t>EF Ori</t>
  </si>
  <si>
    <t>Clearly, the period is wrong.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</si>
  <si>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</si>
  <si>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</si>
  <si>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</si>
  <si>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</si>
  <si>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</si>
  <si>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</si>
  <si>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</si>
  <si>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</si>
  <si>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</si>
  <si>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</si>
  <si>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</si>
  <si>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</si>
  <si>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</si>
  <si>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</si>
  <si>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Count</t>
  </si>
  <si>
    <t>RMS dev'n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</si>
  <si>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</si>
  <si>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</si>
  <si>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</si>
  <si>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</si>
  <si>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</si>
  <si>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</si>
  <si>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</si>
  <si>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</si>
  <si>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</si>
  <si>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</si>
  <si>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</si>
  <si>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</si>
  <si>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</si>
  <si>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</si>
  <si>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</si>
  <si>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</si>
  <si>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</si>
  <si>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</si>
  <si>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</si>
  <si>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IBVS 4887</t>
  </si>
  <si>
    <t>IBVS 5296</t>
  </si>
  <si>
    <t>IBVS 5583</t>
  </si>
  <si>
    <t>I</t>
  </si>
  <si>
    <t>IBVS 5484</t>
  </si>
  <si>
    <t>II</t>
  </si>
  <si>
    <t>BINGO!</t>
  </si>
  <si>
    <t>Found by TomCat</t>
  </si>
  <si>
    <t>(period search software).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</si>
  <si>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</si>
  <si>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</si>
  <si>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</si>
  <si>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</si>
  <si>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</si>
  <si>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</si>
  <si>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</si>
  <si>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</si>
  <si>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</si>
  <si>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</si>
  <si>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</si>
  <si>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2450096.3213 </t>
  </si>
  <si>
    <t> 13.01.1996 19:42 </t>
  </si>
  <si>
    <t> -1.0755 </t>
  </si>
  <si>
    <t>E </t>
  </si>
  <si>
    <t>?</t>
  </si>
  <si>
    <t> J.Safar </t>
  </si>
  <si>
    <t>IBVS 4887 </t>
  </si>
  <si>
    <t>2450138.4277 </t>
  </si>
  <si>
    <t> 24.02.1996 22:15 </t>
  </si>
  <si>
    <t> 0.3177 </t>
  </si>
  <si>
    <t> E.Safarova </t>
  </si>
  <si>
    <t>2451176.4831 </t>
  </si>
  <si>
    <t> 28.12.1998 23:35 </t>
  </si>
  <si>
    <t> 0.1865 </t>
  </si>
  <si>
    <t>o</t>
  </si>
  <si>
    <t> P.Frank </t>
  </si>
  <si>
    <t>BAVM 152 </t>
  </si>
  <si>
    <t>2451956.25845 </t>
  </si>
  <si>
    <t> 15.02.2001 18:12 </t>
  </si>
  <si>
    <t> 0.85925 </t>
  </si>
  <si>
    <t>C </t>
  </si>
  <si>
    <t> J.Šafár </t>
  </si>
  <si>
    <t>OEJV 0074 </t>
  </si>
  <si>
    <t>2452279.3368 </t>
  </si>
  <si>
    <t> 04.01.2002 20:04 </t>
  </si>
  <si>
    <t>7303</t>
  </si>
  <si>
    <t> 1.9332 </t>
  </si>
  <si>
    <t> M.Zejda </t>
  </si>
  <si>
    <t>IBVS 5583 </t>
  </si>
  <si>
    <t>2452321.44373 </t>
  </si>
  <si>
    <t> 15.02.2002 22:38 </t>
  </si>
  <si>
    <t>7314.5</t>
  </si>
  <si>
    <t> 1.47633 </t>
  </si>
  <si>
    <t>2452360.3059 </t>
  </si>
  <si>
    <t> 26.03.2002 19:20 </t>
  </si>
  <si>
    <t>7325</t>
  </si>
  <si>
    <t> 1.4759 </t>
  </si>
  <si>
    <t>2452619.4200 </t>
  </si>
  <si>
    <t> 10.12.2002 22:04 </t>
  </si>
  <si>
    <t>7395</t>
  </si>
  <si>
    <t> 1.5060 </t>
  </si>
  <si>
    <t>BAVM 158 </t>
  </si>
  <si>
    <t>2452683.3943 </t>
  </si>
  <si>
    <t> 12.02.2003 21:27 </t>
  </si>
  <si>
    <t>7412</t>
  </si>
  <si>
    <t> 2.5599 </t>
  </si>
  <si>
    <t>R</t>
  </si>
  <si>
    <t>2453717.4081 </t>
  </si>
  <si>
    <t> 12.12.2005 21:47 </t>
  </si>
  <si>
    <t>7691.5</t>
  </si>
  <si>
    <t> 2.0883 </t>
  </si>
  <si>
    <t>-I</t>
  </si>
  <si>
    <t> F.Agerer </t>
  </si>
  <si>
    <t>BAVM 178 </t>
  </si>
  <si>
    <t>2454091.4990 </t>
  </si>
  <si>
    <t> 21.12.2006 23:58 </t>
  </si>
  <si>
    <t>7792</t>
  </si>
  <si>
    <t> 4.2086 </t>
  </si>
  <si>
    <t>BAVM 183 </t>
  </si>
  <si>
    <t>2454380.5720 </t>
  </si>
  <si>
    <t> 07.10.2007 01:43 </t>
  </si>
  <si>
    <t>7870</t>
  </si>
  <si>
    <t> 4.5880 </t>
  </si>
  <si>
    <t> T.Borkovits et al. </t>
  </si>
  <si>
    <t>IBVS 5835 </t>
  </si>
  <si>
    <t>2454460.7330 </t>
  </si>
  <si>
    <t> 26.12.2007 05:35 </t>
  </si>
  <si>
    <t>7892</t>
  </si>
  <si>
    <t> 3.3226 </t>
  </si>
  <si>
    <t>ns</t>
  </si>
  <si>
    <t> J.Bialozynski </t>
  </si>
  <si>
    <t>JAAVSO 36(2);171 </t>
  </si>
  <si>
    <t>2454500.4154 </t>
  </si>
  <si>
    <t> 03.02.2008 21:58 </t>
  </si>
  <si>
    <t>7903</t>
  </si>
  <si>
    <t> 2.2918 </t>
  </si>
  <si>
    <t>BAVM 201 </t>
  </si>
  <si>
    <t>2454507.6981 </t>
  </si>
  <si>
    <t> 11.02.2008 04:45 </t>
  </si>
  <si>
    <t>7904.5</t>
  </si>
  <si>
    <t> 4.0227 </t>
  </si>
  <si>
    <t>2454520.6529 </t>
  </si>
  <si>
    <t> 24.02.2008 03:40 </t>
  </si>
  <si>
    <t>7908</t>
  </si>
  <si>
    <t> 4.0233 </t>
  </si>
  <si>
    <t> G.Samolyk </t>
  </si>
  <si>
    <t>2454800.8159 </t>
  </si>
  <si>
    <t> 30.11.2008 07:34 </t>
  </si>
  <si>
    <t>7983.5</t>
  </si>
  <si>
    <t> 4.7457 </t>
  </si>
  <si>
    <t> R.Diethelm </t>
  </si>
  <si>
    <t>IBVS 5871 </t>
  </si>
  <si>
    <t>2454887.4659 </t>
  </si>
  <si>
    <t> 24.02.2009 23:10 </t>
  </si>
  <si>
    <t>8007</t>
  </si>
  <si>
    <t> 4.4175 </t>
  </si>
  <si>
    <t> L.Corp </t>
  </si>
  <si>
    <t> JAAVSO 38;85 </t>
  </si>
  <si>
    <t>2455168.43385 </t>
  </si>
  <si>
    <t> 02.12.2009 22:24 </t>
  </si>
  <si>
    <t>8083</t>
  </si>
  <si>
    <t> 4.09425 </t>
  </si>
  <si>
    <t> P.Zasche </t>
  </si>
  <si>
    <t>IBVS 6007 </t>
  </si>
  <si>
    <t>2455210.5400 </t>
  </si>
  <si>
    <t> 14.01.2010 00:57 </t>
  </si>
  <si>
    <t>8094.5</t>
  </si>
  <si>
    <t> 3.6366 </t>
  </si>
  <si>
    <t> JAAVSO 38;120 </t>
  </si>
  <si>
    <t>2455523.8966 </t>
  </si>
  <si>
    <t> 23.11.2010 09:31 </t>
  </si>
  <si>
    <t>8179</t>
  </si>
  <si>
    <t> 4.2418 </t>
  </si>
  <si>
    <t>IBVS 5960 </t>
  </si>
  <si>
    <t>2455631.5972 </t>
  </si>
  <si>
    <t> 11.03.2011 02:19 </t>
  </si>
  <si>
    <t>8208</t>
  </si>
  <si>
    <t> 4.6076 </t>
  </si>
  <si>
    <t> JAAVSO 39;177 </t>
  </si>
  <si>
    <t>2455911.7618 </t>
  </si>
  <si>
    <t> 16.12.2011 06:16 </t>
  </si>
  <si>
    <t>8283.5</t>
  </si>
  <si>
    <t> 5.3316 </t>
  </si>
  <si>
    <t> JAAVSO 40;975 </t>
  </si>
  <si>
    <t>2455958.7239 </t>
  </si>
  <si>
    <t> 01.02.2012 05:22 </t>
  </si>
  <si>
    <t>8296</t>
  </si>
  <si>
    <t> 6.0287 </t>
  </si>
  <si>
    <t>IBVS 6029 </t>
  </si>
  <si>
    <t>2456255.8945 </t>
  </si>
  <si>
    <t> 24.11.2012 09:28 </t>
  </si>
  <si>
    <t>8376</t>
  </si>
  <si>
    <t> 7.1033 </t>
  </si>
  <si>
    <t>IBVS 6042 </t>
  </si>
  <si>
    <t>2456604.8873 </t>
  </si>
  <si>
    <t> 08.11.2013 09:17 </t>
  </si>
  <si>
    <t>8470</t>
  </si>
  <si>
    <t> 8.1833 </t>
  </si>
  <si>
    <t> JAAVSO 42;426 </t>
  </si>
  <si>
    <t>2451144.9020 </t>
  </si>
  <si>
    <t> 27.11.1998 09:38 </t>
  </si>
  <si>
    <t> 0.0656 </t>
  </si>
  <si>
    <t> AOEB 10 </t>
  </si>
  <si>
    <t>2451555.4425 </t>
  </si>
  <si>
    <t> 11.01.2000 22:37 </t>
  </si>
  <si>
    <t> -0.2271 </t>
  </si>
  <si>
    <t> BRNO 32 </t>
  </si>
  <si>
    <t>2451585.4070 </t>
  </si>
  <si>
    <t> 10.02.2000 21:46 </t>
  </si>
  <si>
    <t> 0.1278 </t>
  </si>
  <si>
    <t>2451896.3417 </t>
  </si>
  <si>
    <t> 17.12.2000 20:12 </t>
  </si>
  <si>
    <t> 0.1617 </t>
  </si>
  <si>
    <t>2451926.2950 </t>
  </si>
  <si>
    <t> 16.01.2001 19:04 </t>
  </si>
  <si>
    <t> 0.5054 </t>
  </si>
  <si>
    <t> BBS 124 </t>
  </si>
  <si>
    <t>2452279.3352 </t>
  </si>
  <si>
    <t> 04.01.2002 20:02 </t>
  </si>
  <si>
    <t> 1.9316 </t>
  </si>
  <si>
    <t>2452350.5921 </t>
  </si>
  <si>
    <t> 17.03.2002 02:12 </t>
  </si>
  <si>
    <t>7322.5</t>
  </si>
  <si>
    <t> 1.0151 </t>
  </si>
  <si>
    <t>2452609.7039 </t>
  </si>
  <si>
    <t> 01.12.2002 04:53 </t>
  </si>
  <si>
    <t>7392.5</t>
  </si>
  <si>
    <t> 1.0429 </t>
  </si>
  <si>
    <t>2452651.8100 </t>
  </si>
  <si>
    <t> 12.01.2003 07:26 </t>
  </si>
  <si>
    <t>7404</t>
  </si>
  <si>
    <t> 0.5852 </t>
  </si>
  <si>
    <t>2452669.6237 </t>
  </si>
  <si>
    <t> 30.01.2003 02:58 </t>
  </si>
  <si>
    <t>7408.5</t>
  </si>
  <si>
    <t> 1.7435 </t>
  </si>
  <si>
    <t>2453035.6184 </t>
  </si>
  <si>
    <t> 31.01.2004 02:50 </t>
  </si>
  <si>
    <t>7507.5</t>
  </si>
  <si>
    <t> 1.3194 </t>
  </si>
  <si>
    <t>2453323.8804 </t>
  </si>
  <si>
    <t> 14.11.2004 09:07 </t>
  </si>
  <si>
    <t>7585.5</t>
  </si>
  <si>
    <t> 0.8878 </t>
  </si>
  <si>
    <t>2453413.7522 </t>
  </si>
  <si>
    <t> 12.02.2005 06:03 </t>
  </si>
  <si>
    <t>7610</t>
  </si>
  <si>
    <t> 0.0802 </t>
  </si>
  <si>
    <t>2453435.6210 </t>
  </si>
  <si>
    <t> 06.03.2005 02:54 </t>
  </si>
  <si>
    <t>7615.5</t>
  </si>
  <si>
    <t> 1.5924 </t>
  </si>
  <si>
    <t>2453445.3406 </t>
  </si>
  <si>
    <t> 15.03.2005 20:10 </t>
  </si>
  <si>
    <t>7618</t>
  </si>
  <si>
    <t> 2.0590 </t>
  </si>
  <si>
    <t> M.Zejda et al. </t>
  </si>
  <si>
    <t>IBVS 5741 </t>
  </si>
  <si>
    <t>2453751.4145 </t>
  </si>
  <si>
    <t> 15.01.2006 21:56 </t>
  </si>
  <si>
    <t>7700.5</t>
  </si>
  <si>
    <t> 2.7839 </t>
  </si>
  <si>
    <t> M.Lehky </t>
  </si>
  <si>
    <t>OEJV 0107 </t>
  </si>
  <si>
    <t>2454090.7003 </t>
  </si>
  <si>
    <t> 21.12.2006 04:48 </t>
  </si>
  <si>
    <t> 3.4099 </t>
  </si>
  <si>
    <t> AOEB 12 </t>
  </si>
  <si>
    <t>2454094.7377 </t>
  </si>
  <si>
    <t> 25.12.2006 05:42 </t>
  </si>
  <si>
    <t>7793</t>
  </si>
  <si>
    <t> 3.7461 </t>
  </si>
  <si>
    <t>2454107.6948 </t>
  </si>
  <si>
    <t> 07.01.2007 04:40 </t>
  </si>
  <si>
    <t>7796.5</t>
  </si>
  <si>
    <t> 3.7490 </t>
  </si>
  <si>
    <t>2455181.3893 </t>
  </si>
  <si>
    <t> 15.12.2009 21:20 </t>
  </si>
  <si>
    <t>8086.5</t>
  </si>
  <si>
    <t> 4.0955 </t>
  </si>
  <si>
    <t> G.Corfini </t>
  </si>
  <si>
    <t>OEJV 0137 </t>
  </si>
  <si>
    <t>2456221.8825 </t>
  </si>
  <si>
    <t> 21.10.2012 09:10 </t>
  </si>
  <si>
    <t>8367</t>
  </si>
  <si>
    <t> 6.4021 </t>
  </si>
  <si>
    <t> K.Menzies </t>
  </si>
  <si>
    <t> JAAVSO 41;122 </t>
  </si>
  <si>
    <t>2456272.8999 </t>
  </si>
  <si>
    <t> 11.12.2012 09:35 </t>
  </si>
  <si>
    <t>8380.5</t>
  </si>
  <si>
    <t> 7.4533 </t>
  </si>
  <si>
    <t> J.A.Howell </t>
  </si>
  <si>
    <t> JAAVSO 43-1 </t>
  </si>
  <si>
    <t>EF Ori / GSC 0738-1561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</si>
  <si>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</si>
  <si>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</si>
  <si>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</si>
  <si>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</si>
  <si>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</si>
  <si>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</si>
  <si>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</si>
  <si>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</si>
  <si>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</si>
  <si>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</si>
  <si>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s5</t>
  </si>
  <si>
    <t>s6</t>
  </si>
  <si>
    <t>s7</t>
  </si>
  <si>
    <t>OEJV 0074</t>
  </si>
  <si>
    <t>IBVS 5741</t>
  </si>
  <si>
    <t>IBVS 5731</t>
  </si>
  <si>
    <t>OEJV 0107</t>
  </si>
  <si>
    <t>IBVS 5761</t>
  </si>
  <si>
    <t>IBVS 5835</t>
  </si>
  <si>
    <t>JAVSO..36..171</t>
  </si>
  <si>
    <t>IBVS 5874</t>
  </si>
  <si>
    <t>IBVS 5871</t>
  </si>
  <si>
    <t>JAVSO..38...85</t>
  </si>
  <si>
    <t>IBVS 6007</t>
  </si>
  <si>
    <t>OEJV 0137</t>
  </si>
  <si>
    <t>JAVSO..38..183</t>
  </si>
  <si>
    <t>IBVS 5960</t>
  </si>
  <si>
    <t>JAVSO..39..177</t>
  </si>
  <si>
    <t>JAVSO..40....1</t>
  </si>
  <si>
    <t>JAVSO..40..975</t>
  </si>
  <si>
    <t>IBVS 6029</t>
  </si>
  <si>
    <t>JAVSO..41..122</t>
  </si>
  <si>
    <t>IBVS 6042</t>
  </si>
  <si>
    <t>JAVSO 43, 77</t>
  </si>
  <si>
    <t>JAVSO..42..426</t>
  </si>
  <si>
    <t>JAVSO..44…69</t>
  </si>
  <si>
    <t>JAVSO..45..215</t>
  </si>
  <si>
    <t>JAVSO..46…79 (2018)</t>
  </si>
  <si>
    <t>JAVSO..47..105</t>
  </si>
  <si>
    <t>JAVSO..48…87</t>
  </si>
  <si>
    <t>JAVSO..48..256</t>
  </si>
  <si>
    <t>JAVSO 49, 108</t>
  </si>
  <si>
    <t>JAVSO, 50, 133</t>
  </si>
  <si>
    <t>JAAVSO, 50, 255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</si>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</sst>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"/>
    <numFmt numFmtId="166" formatCode="m/d/yyyy\ h:mm"/>
    <numFmt numFmtId="167" formatCode="0.00000"/>
    <numFmt numFmtId="168" formatCode="0.000000"/>
    <numFmt numFmtId="169" formatCode="0.0000000"/>
    <numFmt numFmtId="170" formatCode="d/m/yyyy;@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9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9" fillId="2" borderId="10" xfId="5" applyNumberFormat="1" applyFill="1" applyBorder="1" applyAlignment="1" applyProtection="1">
      <alignment horizontal="right" vertical="top" wrapText="1"/>
    </xf>
    <xf numFmtId="0" fontId="0" fillId="0" borderId="11" xfId="0" applyBorder="1" applyAlignment="1">
      <alignment horizontal="left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12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left"/>
    </xf>
    <xf numFmtId="169" fontId="13" fillId="0" borderId="0" xfId="0" applyNumberFormat="1" applyFont="1" applyAlignment="1">
      <alignment horizontal="left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70" fontId="5" fillId="0" borderId="0" xfId="0" applyNumberFormat="1" applyFont="1" applyAlignment="1"/>
    <xf numFmtId="170" fontId="0" fillId="0" borderId="0" xfId="0" applyNumberForma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60949851682740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61548184943159"/>
          <c:y val="0.234375"/>
          <c:w val="0.8180479281619303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Active!$H$21:$H$79</c:f>
              <c:numCache>
                <c:formatCode>General</c:formatCode>
                <c:ptCount val="59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E-4714-A568-CE55710F84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Active!$I$21:$I$79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E-4714-A568-CE55710F84A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Active!$J$21:$J$79</c:f>
              <c:numCache>
                <c:formatCode>General</c:formatCode>
                <c:ptCount val="59"/>
                <c:pt idx="3">
                  <c:v>-0.24205374331359053</c:v>
                </c:pt>
                <c:pt idx="9">
                  <c:v>-0.24278559636150021</c:v>
                </c:pt>
                <c:pt idx="16">
                  <c:v>-0.24463110171200242</c:v>
                </c:pt>
                <c:pt idx="25">
                  <c:v>-0.25088087610492948</c:v>
                </c:pt>
                <c:pt idx="28">
                  <c:v>-0.25540093198651448</c:v>
                </c:pt>
                <c:pt idx="34">
                  <c:v>-0.25282588484697044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E-4714-A568-CE55710F84A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Active!$K$21:$K$79</c:f>
              <c:numCache>
                <c:formatCode>General</c:formatCode>
                <c:ptCount val="59"/>
                <c:pt idx="0">
                  <c:v>-0.22357159061357379</c:v>
                </c:pt>
                <c:pt idx="1">
                  <c:v>-0.22314960556104779</c:v>
                </c:pt>
                <c:pt idx="2">
                  <c:v>-0.2436702320992481</c:v>
                </c:pt>
                <c:pt idx="4">
                  <c:v>-0.23645587784267263</c:v>
                </c:pt>
                <c:pt idx="5">
                  <c:v>-0.23197869616706157</c:v>
                </c:pt>
                <c:pt idx="6">
                  <c:v>-0.23373172962601529</c:v>
                </c:pt>
                <c:pt idx="7">
                  <c:v>-0.24045454795123078</c:v>
                </c:pt>
                <c:pt idx="8">
                  <c:v>-0.23702736628183629</c:v>
                </c:pt>
                <c:pt idx="10">
                  <c:v>-0.24268559635675047</c:v>
                </c:pt>
                <c:pt idx="11">
                  <c:v>-0.24108559636079008</c:v>
                </c:pt>
                <c:pt idx="12">
                  <c:v>-0.24013361131073907</c:v>
                </c:pt>
                <c:pt idx="13">
                  <c:v>-0.24205608318879968</c:v>
                </c:pt>
                <c:pt idx="14">
                  <c:v>-0.24502024049434112</c:v>
                </c:pt>
                <c:pt idx="15">
                  <c:v>-0.24396694440656574</c:v>
                </c:pt>
                <c:pt idx="17">
                  <c:v>-0.24384495936101303</c:v>
                </c:pt>
                <c:pt idx="18">
                  <c:v>-0.24421258107031463</c:v>
                </c:pt>
                <c:pt idx="19">
                  <c:v>-0.23902847056888277</c:v>
                </c:pt>
                <c:pt idx="20">
                  <c:v>-0.24762917253974592</c:v>
                </c:pt>
                <c:pt idx="21">
                  <c:v>-0.24963250563450856</c:v>
                </c:pt>
                <c:pt idx="22">
                  <c:v>-0.257900960619736</c:v>
                </c:pt>
                <c:pt idx="23">
                  <c:v>-0.25182031453732634</c:v>
                </c:pt>
                <c:pt idx="24">
                  <c:v>-0.24898447182931704</c:v>
                </c:pt>
                <c:pt idx="26">
                  <c:v>-0.25314542664273176</c:v>
                </c:pt>
                <c:pt idx="27">
                  <c:v>-0.24437058555486146</c:v>
                </c:pt>
                <c:pt idx="29">
                  <c:v>-0.25562231775984401</c:v>
                </c:pt>
                <c:pt idx="30">
                  <c:v>-0.25420786082395352</c:v>
                </c:pt>
                <c:pt idx="31">
                  <c:v>-0.25613461153989192</c:v>
                </c:pt>
                <c:pt idx="33">
                  <c:v>-0.25843890922260471</c:v>
                </c:pt>
                <c:pt idx="35">
                  <c:v>-0.25769900281738956</c:v>
                </c:pt>
                <c:pt idx="36">
                  <c:v>-0.25858454588160384</c:v>
                </c:pt>
                <c:pt idx="37">
                  <c:v>-0.26228441456623841</c:v>
                </c:pt>
                <c:pt idx="38">
                  <c:v>-0.25343148379033664</c:v>
                </c:pt>
                <c:pt idx="39">
                  <c:v>-0.26191169892263133</c:v>
                </c:pt>
                <c:pt idx="40">
                  <c:v>-0.26206724197982112</c:v>
                </c:pt>
                <c:pt idx="41">
                  <c:v>-0.26173971386742778</c:v>
                </c:pt>
                <c:pt idx="42">
                  <c:v>-0.27078378665464697</c:v>
                </c:pt>
                <c:pt idx="43">
                  <c:v>-0.27078378665464697</c:v>
                </c:pt>
                <c:pt idx="44">
                  <c:v>-0.2643198633522843</c:v>
                </c:pt>
                <c:pt idx="45">
                  <c:v>-0.26641973203368252</c:v>
                </c:pt>
                <c:pt idx="46">
                  <c:v>-0.26641973203368252</c:v>
                </c:pt>
                <c:pt idx="47">
                  <c:v>-0.26867982563271653</c:v>
                </c:pt>
                <c:pt idx="48">
                  <c:v>-0.27244241905282252</c:v>
                </c:pt>
                <c:pt idx="49">
                  <c:v>-0.27234241905534873</c:v>
                </c:pt>
                <c:pt idx="50">
                  <c:v>-0.26911696958268294</c:v>
                </c:pt>
                <c:pt idx="51">
                  <c:v>-0.26805424485792173</c:v>
                </c:pt>
                <c:pt idx="52">
                  <c:v>-0.26805424485792173</c:v>
                </c:pt>
                <c:pt idx="53">
                  <c:v>-0.27009628578525735</c:v>
                </c:pt>
                <c:pt idx="54">
                  <c:v>-0.27558609790867195</c:v>
                </c:pt>
                <c:pt idx="55">
                  <c:v>-0.28006278297107201</c:v>
                </c:pt>
                <c:pt idx="56">
                  <c:v>-0.28024819472193485</c:v>
                </c:pt>
                <c:pt idx="57">
                  <c:v>-0.28127111572393915</c:v>
                </c:pt>
                <c:pt idx="58">
                  <c:v>-0.28578137765725842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1E-4714-A568-CE55710F84A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Active!$L$21:$L$79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1E-4714-A568-CE55710F8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Active!$M$21:$M$79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1E-4714-A568-CE55710F8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1E-4714-A568-CE55710F8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Active!$O$21:$O$79</c:f>
              <c:numCache>
                <c:formatCode>General</c:formatCode>
                <c:ptCount val="59"/>
                <c:pt idx="0">
                  <c:v>-0.22726687180294994</c:v>
                </c:pt>
                <c:pt idx="1">
                  <c:v>-0.22755112220435719</c:v>
                </c:pt>
                <c:pt idx="2">
                  <c:v>-0.23434580006876493</c:v>
                </c:pt>
                <c:pt idx="3">
                  <c:v>-0.23455898786982038</c:v>
                </c:pt>
                <c:pt idx="4">
                  <c:v>-0.23711724148248556</c:v>
                </c:pt>
                <c:pt idx="5">
                  <c:v>-0.23731949657579457</c:v>
                </c:pt>
                <c:pt idx="6">
                  <c:v>-0.2394185764631096</c:v>
                </c:pt>
                <c:pt idx="7">
                  <c:v>-0.23962083155641858</c:v>
                </c:pt>
                <c:pt idx="8">
                  <c:v>-0.2398230866497276</c:v>
                </c:pt>
                <c:pt idx="9">
                  <c:v>-0.24200416184514087</c:v>
                </c:pt>
                <c:pt idx="10">
                  <c:v>-0.24200416184514087</c:v>
                </c:pt>
                <c:pt idx="11">
                  <c:v>-0.24200416184514087</c:v>
                </c:pt>
                <c:pt idx="12">
                  <c:v>-0.2422884122465481</c:v>
                </c:pt>
                <c:pt idx="13">
                  <c:v>-0.24248520098598389</c:v>
                </c:pt>
                <c:pt idx="14">
                  <c:v>-0.24255079723246248</c:v>
                </c:pt>
                <c:pt idx="15">
                  <c:v>-0.24423443422541308</c:v>
                </c:pt>
                <c:pt idx="16">
                  <c:v>-0.24430003047189167</c:v>
                </c:pt>
                <c:pt idx="17">
                  <c:v>-0.24451868462682033</c:v>
                </c:pt>
                <c:pt idx="18">
                  <c:v>-0.24463894441203107</c:v>
                </c:pt>
                <c:pt idx="19">
                  <c:v>-0.24473187242787575</c:v>
                </c:pt>
                <c:pt idx="20">
                  <c:v>-0.24710973636272482</c:v>
                </c:pt>
                <c:pt idx="21">
                  <c:v>-0.24905575834158977</c:v>
                </c:pt>
                <c:pt idx="22">
                  <c:v>-0.24966252362151678</c:v>
                </c:pt>
                <c:pt idx="23">
                  <c:v>-0.24981011517609361</c:v>
                </c:pt>
                <c:pt idx="24">
                  <c:v>-0.24987571142257223</c:v>
                </c:pt>
                <c:pt idx="25">
                  <c:v>-0.25171240632397285</c:v>
                </c:pt>
                <c:pt idx="26">
                  <c:v>-0.25194199318664795</c:v>
                </c:pt>
                <c:pt idx="27">
                  <c:v>-0.25423239545952558</c:v>
                </c:pt>
                <c:pt idx="28">
                  <c:v>-0.25423786181339875</c:v>
                </c:pt>
                <c:pt idx="29">
                  <c:v>-0.25425972722889162</c:v>
                </c:pt>
                <c:pt idx="30">
                  <c:v>-0.25434718889086305</c:v>
                </c:pt>
                <c:pt idx="31">
                  <c:v>-0.25618935014613697</c:v>
                </c:pt>
                <c:pt idx="32">
                  <c:v>-5.9515404141690625E-2</c:v>
                </c:pt>
                <c:pt idx="33">
                  <c:v>-0.25673051917958534</c:v>
                </c:pt>
                <c:pt idx="34">
                  <c:v>-0.25699837051937291</c:v>
                </c:pt>
                <c:pt idx="35">
                  <c:v>-0.25704756770423187</c:v>
                </c:pt>
                <c:pt idx="36">
                  <c:v>-0.25713502936620336</c:v>
                </c:pt>
                <c:pt idx="37">
                  <c:v>-0.25902638780633613</c:v>
                </c:pt>
                <c:pt idx="38">
                  <c:v>-0.2596112876707703</c:v>
                </c:pt>
                <c:pt idx="39">
                  <c:v>-0.26150811246477634</c:v>
                </c:pt>
                <c:pt idx="40">
                  <c:v>-0.26159557412674778</c:v>
                </c:pt>
                <c:pt idx="41">
                  <c:v>-0.26179236286618357</c:v>
                </c:pt>
                <c:pt idx="42">
                  <c:v>-0.26390784181511828</c:v>
                </c:pt>
                <c:pt idx="43">
                  <c:v>-0.26390784181511828</c:v>
                </c:pt>
                <c:pt idx="44">
                  <c:v>-0.264634866880256</c:v>
                </c:pt>
                <c:pt idx="45">
                  <c:v>-0.26652622532038883</c:v>
                </c:pt>
                <c:pt idx="46">
                  <c:v>-0.26652622532038883</c:v>
                </c:pt>
                <c:pt idx="47">
                  <c:v>-0.26684327384503537</c:v>
                </c:pt>
                <c:pt idx="48">
                  <c:v>-0.26861983885383062</c:v>
                </c:pt>
                <c:pt idx="49">
                  <c:v>-0.26861983885383062</c:v>
                </c:pt>
                <c:pt idx="50">
                  <c:v>-0.26884942571650572</c:v>
                </c:pt>
                <c:pt idx="51">
                  <c:v>-0.26896421914784324</c:v>
                </c:pt>
                <c:pt idx="52">
                  <c:v>-0.26896421914784324</c:v>
                </c:pt>
                <c:pt idx="53">
                  <c:v>-0.27120542423586191</c:v>
                </c:pt>
                <c:pt idx="54">
                  <c:v>-0.2764093931231637</c:v>
                </c:pt>
                <c:pt idx="55">
                  <c:v>-0.27919723359850401</c:v>
                </c:pt>
                <c:pt idx="56">
                  <c:v>-0.28117605370060827</c:v>
                </c:pt>
                <c:pt idx="57">
                  <c:v>-0.28406228854566645</c:v>
                </c:pt>
                <c:pt idx="58">
                  <c:v>-0.28611763760199571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1E-4714-A568-CE55710F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4008"/>
        <c:axId val="1"/>
      </c:scatterChart>
      <c:valAx>
        <c:axId val="42672400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272499961173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75147928994084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89364643029089"/>
          <c:y val="0.90937500000000004"/>
          <c:w val="0.6020714718352514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5756676557863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3115727002968"/>
          <c:y val="0.23364557062150329"/>
          <c:w val="0.8189910979228486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Active!$H$21:$H$79</c:f>
              <c:numCache>
                <c:formatCode>General</c:formatCode>
                <c:ptCount val="59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5-47ED-B5D8-60A3110809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Active!$I$21:$I$79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95-47ED-B5D8-60A311080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Active!$J$21:$J$79</c:f>
              <c:numCache>
                <c:formatCode>General</c:formatCode>
                <c:ptCount val="59"/>
                <c:pt idx="3">
                  <c:v>-0.24205374331359053</c:v>
                </c:pt>
                <c:pt idx="9">
                  <c:v>-0.24278559636150021</c:v>
                </c:pt>
                <c:pt idx="16">
                  <c:v>-0.24463110171200242</c:v>
                </c:pt>
                <c:pt idx="25">
                  <c:v>-0.25088087610492948</c:v>
                </c:pt>
                <c:pt idx="28">
                  <c:v>-0.25540093198651448</c:v>
                </c:pt>
                <c:pt idx="34">
                  <c:v>-0.25282588484697044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95-47ED-B5D8-60A311080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Active!$K$21:$K$79</c:f>
              <c:numCache>
                <c:formatCode>General</c:formatCode>
                <c:ptCount val="59"/>
                <c:pt idx="0">
                  <c:v>-0.22357159061357379</c:v>
                </c:pt>
                <c:pt idx="1">
                  <c:v>-0.22314960556104779</c:v>
                </c:pt>
                <c:pt idx="2">
                  <c:v>-0.2436702320992481</c:v>
                </c:pt>
                <c:pt idx="4">
                  <c:v>-0.23645587784267263</c:v>
                </c:pt>
                <c:pt idx="5">
                  <c:v>-0.23197869616706157</c:v>
                </c:pt>
                <c:pt idx="6">
                  <c:v>-0.23373172962601529</c:v>
                </c:pt>
                <c:pt idx="7">
                  <c:v>-0.24045454795123078</c:v>
                </c:pt>
                <c:pt idx="8">
                  <c:v>-0.23702736628183629</c:v>
                </c:pt>
                <c:pt idx="10">
                  <c:v>-0.24268559635675047</c:v>
                </c:pt>
                <c:pt idx="11">
                  <c:v>-0.24108559636079008</c:v>
                </c:pt>
                <c:pt idx="12">
                  <c:v>-0.24013361131073907</c:v>
                </c:pt>
                <c:pt idx="13">
                  <c:v>-0.24205608318879968</c:v>
                </c:pt>
                <c:pt idx="14">
                  <c:v>-0.24502024049434112</c:v>
                </c:pt>
                <c:pt idx="15">
                  <c:v>-0.24396694440656574</c:v>
                </c:pt>
                <c:pt idx="17">
                  <c:v>-0.24384495936101303</c:v>
                </c:pt>
                <c:pt idx="18">
                  <c:v>-0.24421258107031463</c:v>
                </c:pt>
                <c:pt idx="19">
                  <c:v>-0.23902847056888277</c:v>
                </c:pt>
                <c:pt idx="20">
                  <c:v>-0.24762917253974592</c:v>
                </c:pt>
                <c:pt idx="21">
                  <c:v>-0.24963250563450856</c:v>
                </c:pt>
                <c:pt idx="22">
                  <c:v>-0.257900960619736</c:v>
                </c:pt>
                <c:pt idx="23">
                  <c:v>-0.25182031453732634</c:v>
                </c:pt>
                <c:pt idx="24">
                  <c:v>-0.24898447182931704</c:v>
                </c:pt>
                <c:pt idx="26">
                  <c:v>-0.25314542664273176</c:v>
                </c:pt>
                <c:pt idx="27">
                  <c:v>-0.24437058555486146</c:v>
                </c:pt>
                <c:pt idx="29">
                  <c:v>-0.25562231775984401</c:v>
                </c:pt>
                <c:pt idx="30">
                  <c:v>-0.25420786082395352</c:v>
                </c:pt>
                <c:pt idx="31">
                  <c:v>-0.25613461153989192</c:v>
                </c:pt>
                <c:pt idx="33">
                  <c:v>-0.25843890922260471</c:v>
                </c:pt>
                <c:pt idx="35">
                  <c:v>-0.25769900281738956</c:v>
                </c:pt>
                <c:pt idx="36">
                  <c:v>-0.25858454588160384</c:v>
                </c:pt>
                <c:pt idx="37">
                  <c:v>-0.26228441456623841</c:v>
                </c:pt>
                <c:pt idx="38">
                  <c:v>-0.25343148379033664</c:v>
                </c:pt>
                <c:pt idx="39">
                  <c:v>-0.26191169892263133</c:v>
                </c:pt>
                <c:pt idx="40">
                  <c:v>-0.26206724197982112</c:v>
                </c:pt>
                <c:pt idx="41">
                  <c:v>-0.26173971386742778</c:v>
                </c:pt>
                <c:pt idx="42">
                  <c:v>-0.27078378665464697</c:v>
                </c:pt>
                <c:pt idx="43">
                  <c:v>-0.27078378665464697</c:v>
                </c:pt>
                <c:pt idx="44">
                  <c:v>-0.2643198633522843</c:v>
                </c:pt>
                <c:pt idx="45">
                  <c:v>-0.26641973203368252</c:v>
                </c:pt>
                <c:pt idx="46">
                  <c:v>-0.26641973203368252</c:v>
                </c:pt>
                <c:pt idx="47">
                  <c:v>-0.26867982563271653</c:v>
                </c:pt>
                <c:pt idx="48">
                  <c:v>-0.27244241905282252</c:v>
                </c:pt>
                <c:pt idx="49">
                  <c:v>-0.27234241905534873</c:v>
                </c:pt>
                <c:pt idx="50">
                  <c:v>-0.26911696958268294</c:v>
                </c:pt>
                <c:pt idx="51">
                  <c:v>-0.26805424485792173</c:v>
                </c:pt>
                <c:pt idx="52">
                  <c:v>-0.26805424485792173</c:v>
                </c:pt>
                <c:pt idx="53">
                  <c:v>-0.27009628578525735</c:v>
                </c:pt>
                <c:pt idx="54">
                  <c:v>-0.27558609790867195</c:v>
                </c:pt>
                <c:pt idx="55">
                  <c:v>-0.28006278297107201</c:v>
                </c:pt>
                <c:pt idx="56">
                  <c:v>-0.28024819472193485</c:v>
                </c:pt>
                <c:pt idx="57">
                  <c:v>-0.28127111572393915</c:v>
                </c:pt>
                <c:pt idx="58">
                  <c:v>-0.28578137765725842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95-47ED-B5D8-60A3110809E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Active!$L$21:$L$79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95-47ED-B5D8-60A3110809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Active!$M$21:$M$79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95-47ED-B5D8-60A3110809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95-47ED-B5D8-60A311080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Active!$F$21:$F$79</c:f>
              <c:numCache>
                <c:formatCode>General</c:formatCode>
                <c:ptCount val="59"/>
                <c:pt idx="0">
                  <c:v>15344</c:v>
                </c:pt>
                <c:pt idx="1">
                  <c:v>15370</c:v>
                </c:pt>
                <c:pt idx="2">
                  <c:v>15991.5</c:v>
                </c:pt>
                <c:pt idx="3">
                  <c:v>16011</c:v>
                </c:pt>
                <c:pt idx="4">
                  <c:v>16245</c:v>
                </c:pt>
                <c:pt idx="5">
                  <c:v>16263.5</c:v>
                </c:pt>
                <c:pt idx="6">
                  <c:v>16455.5</c:v>
                </c:pt>
                <c:pt idx="7">
                  <c:v>16474</c:v>
                </c:pt>
                <c:pt idx="8">
                  <c:v>16492.5</c:v>
                </c:pt>
                <c:pt idx="9">
                  <c:v>16692</c:v>
                </c:pt>
                <c:pt idx="10">
                  <c:v>16692</c:v>
                </c:pt>
                <c:pt idx="11">
                  <c:v>16692</c:v>
                </c:pt>
                <c:pt idx="12">
                  <c:v>16718</c:v>
                </c:pt>
                <c:pt idx="13">
                  <c:v>16736</c:v>
                </c:pt>
                <c:pt idx="14">
                  <c:v>16742</c:v>
                </c:pt>
                <c:pt idx="15">
                  <c:v>16896</c:v>
                </c:pt>
                <c:pt idx="16">
                  <c:v>16902</c:v>
                </c:pt>
                <c:pt idx="17">
                  <c:v>16922</c:v>
                </c:pt>
                <c:pt idx="18">
                  <c:v>16933</c:v>
                </c:pt>
                <c:pt idx="19">
                  <c:v>16941.5</c:v>
                </c:pt>
                <c:pt idx="20">
                  <c:v>17159</c:v>
                </c:pt>
                <c:pt idx="21">
                  <c:v>17337</c:v>
                </c:pt>
                <c:pt idx="22">
                  <c:v>17392.5</c:v>
                </c:pt>
                <c:pt idx="23">
                  <c:v>17406</c:v>
                </c:pt>
                <c:pt idx="24">
                  <c:v>17412</c:v>
                </c:pt>
                <c:pt idx="25">
                  <c:v>17580</c:v>
                </c:pt>
                <c:pt idx="26">
                  <c:v>17601</c:v>
                </c:pt>
                <c:pt idx="27">
                  <c:v>17810.5</c:v>
                </c:pt>
                <c:pt idx="28">
                  <c:v>17811</c:v>
                </c:pt>
                <c:pt idx="29">
                  <c:v>17813</c:v>
                </c:pt>
                <c:pt idx="30">
                  <c:v>17821</c:v>
                </c:pt>
                <c:pt idx="31">
                  <c:v>17989.5</c:v>
                </c:pt>
                <c:pt idx="32">
                  <c:v>0</c:v>
                </c:pt>
                <c:pt idx="33">
                  <c:v>18039</c:v>
                </c:pt>
                <c:pt idx="34">
                  <c:v>18063.5</c:v>
                </c:pt>
                <c:pt idx="35">
                  <c:v>18068</c:v>
                </c:pt>
                <c:pt idx="36">
                  <c:v>18076</c:v>
                </c:pt>
                <c:pt idx="37">
                  <c:v>18249</c:v>
                </c:pt>
                <c:pt idx="38">
                  <c:v>18302.5</c:v>
                </c:pt>
                <c:pt idx="39">
                  <c:v>18476</c:v>
                </c:pt>
                <c:pt idx="40">
                  <c:v>18484</c:v>
                </c:pt>
                <c:pt idx="41">
                  <c:v>18502</c:v>
                </c:pt>
                <c:pt idx="42">
                  <c:v>18695.5</c:v>
                </c:pt>
                <c:pt idx="43">
                  <c:v>18695.5</c:v>
                </c:pt>
                <c:pt idx="44">
                  <c:v>18762</c:v>
                </c:pt>
                <c:pt idx="45">
                  <c:v>18935</c:v>
                </c:pt>
                <c:pt idx="46">
                  <c:v>18935</c:v>
                </c:pt>
                <c:pt idx="47">
                  <c:v>18964</c:v>
                </c:pt>
                <c:pt idx="48">
                  <c:v>19126.5</c:v>
                </c:pt>
                <c:pt idx="49">
                  <c:v>19126.5</c:v>
                </c:pt>
                <c:pt idx="50">
                  <c:v>19147.5</c:v>
                </c:pt>
                <c:pt idx="51">
                  <c:v>19158</c:v>
                </c:pt>
                <c:pt idx="52">
                  <c:v>19158</c:v>
                </c:pt>
                <c:pt idx="53">
                  <c:v>19363</c:v>
                </c:pt>
                <c:pt idx="54">
                  <c:v>19839</c:v>
                </c:pt>
                <c:pt idx="55">
                  <c:v>20094</c:v>
                </c:pt>
                <c:pt idx="56">
                  <c:v>20275</c:v>
                </c:pt>
                <c:pt idx="57">
                  <c:v>20539</c:v>
                </c:pt>
                <c:pt idx="58">
                  <c:v>20727</c:v>
                </c:pt>
              </c:numCache>
            </c:numRef>
          </c:xVal>
          <c:yVal>
            <c:numRef>
              <c:f>Active!$O$21:$O$79</c:f>
              <c:numCache>
                <c:formatCode>General</c:formatCode>
                <c:ptCount val="59"/>
                <c:pt idx="0">
                  <c:v>-0.22726687180294994</c:v>
                </c:pt>
                <c:pt idx="1">
                  <c:v>-0.22755112220435719</c:v>
                </c:pt>
                <c:pt idx="2">
                  <c:v>-0.23434580006876493</c:v>
                </c:pt>
                <c:pt idx="3">
                  <c:v>-0.23455898786982038</c:v>
                </c:pt>
                <c:pt idx="4">
                  <c:v>-0.23711724148248556</c:v>
                </c:pt>
                <c:pt idx="5">
                  <c:v>-0.23731949657579457</c:v>
                </c:pt>
                <c:pt idx="6">
                  <c:v>-0.2394185764631096</c:v>
                </c:pt>
                <c:pt idx="7">
                  <c:v>-0.23962083155641858</c:v>
                </c:pt>
                <c:pt idx="8">
                  <c:v>-0.2398230866497276</c:v>
                </c:pt>
                <c:pt idx="9">
                  <c:v>-0.24200416184514087</c:v>
                </c:pt>
                <c:pt idx="10">
                  <c:v>-0.24200416184514087</c:v>
                </c:pt>
                <c:pt idx="11">
                  <c:v>-0.24200416184514087</c:v>
                </c:pt>
                <c:pt idx="12">
                  <c:v>-0.2422884122465481</c:v>
                </c:pt>
                <c:pt idx="13">
                  <c:v>-0.24248520098598389</c:v>
                </c:pt>
                <c:pt idx="14">
                  <c:v>-0.24255079723246248</c:v>
                </c:pt>
                <c:pt idx="15">
                  <c:v>-0.24423443422541308</c:v>
                </c:pt>
                <c:pt idx="16">
                  <c:v>-0.24430003047189167</c:v>
                </c:pt>
                <c:pt idx="17">
                  <c:v>-0.24451868462682033</c:v>
                </c:pt>
                <c:pt idx="18">
                  <c:v>-0.24463894441203107</c:v>
                </c:pt>
                <c:pt idx="19">
                  <c:v>-0.24473187242787575</c:v>
                </c:pt>
                <c:pt idx="20">
                  <c:v>-0.24710973636272482</c:v>
                </c:pt>
                <c:pt idx="21">
                  <c:v>-0.24905575834158977</c:v>
                </c:pt>
                <c:pt idx="22">
                  <c:v>-0.24966252362151678</c:v>
                </c:pt>
                <c:pt idx="23">
                  <c:v>-0.24981011517609361</c:v>
                </c:pt>
                <c:pt idx="24">
                  <c:v>-0.24987571142257223</c:v>
                </c:pt>
                <c:pt idx="25">
                  <c:v>-0.25171240632397285</c:v>
                </c:pt>
                <c:pt idx="26">
                  <c:v>-0.25194199318664795</c:v>
                </c:pt>
                <c:pt idx="27">
                  <c:v>-0.25423239545952558</c:v>
                </c:pt>
                <c:pt idx="28">
                  <c:v>-0.25423786181339875</c:v>
                </c:pt>
                <c:pt idx="29">
                  <c:v>-0.25425972722889162</c:v>
                </c:pt>
                <c:pt idx="30">
                  <c:v>-0.25434718889086305</c:v>
                </c:pt>
                <c:pt idx="31">
                  <c:v>-0.25618935014613697</c:v>
                </c:pt>
                <c:pt idx="32">
                  <c:v>-5.9515404141690625E-2</c:v>
                </c:pt>
                <c:pt idx="33">
                  <c:v>-0.25673051917958534</c:v>
                </c:pt>
                <c:pt idx="34">
                  <c:v>-0.25699837051937291</c:v>
                </c:pt>
                <c:pt idx="35">
                  <c:v>-0.25704756770423187</c:v>
                </c:pt>
                <c:pt idx="36">
                  <c:v>-0.25713502936620336</c:v>
                </c:pt>
                <c:pt idx="37">
                  <c:v>-0.25902638780633613</c:v>
                </c:pt>
                <c:pt idx="38">
                  <c:v>-0.2596112876707703</c:v>
                </c:pt>
                <c:pt idx="39">
                  <c:v>-0.26150811246477634</c:v>
                </c:pt>
                <c:pt idx="40">
                  <c:v>-0.26159557412674778</c:v>
                </c:pt>
                <c:pt idx="41">
                  <c:v>-0.26179236286618357</c:v>
                </c:pt>
                <c:pt idx="42">
                  <c:v>-0.26390784181511828</c:v>
                </c:pt>
                <c:pt idx="43">
                  <c:v>-0.26390784181511828</c:v>
                </c:pt>
                <c:pt idx="44">
                  <c:v>-0.264634866880256</c:v>
                </c:pt>
                <c:pt idx="45">
                  <c:v>-0.26652622532038883</c:v>
                </c:pt>
                <c:pt idx="46">
                  <c:v>-0.26652622532038883</c:v>
                </c:pt>
                <c:pt idx="47">
                  <c:v>-0.26684327384503537</c:v>
                </c:pt>
                <c:pt idx="48">
                  <c:v>-0.26861983885383062</c:v>
                </c:pt>
                <c:pt idx="49">
                  <c:v>-0.26861983885383062</c:v>
                </c:pt>
                <c:pt idx="50">
                  <c:v>-0.26884942571650572</c:v>
                </c:pt>
                <c:pt idx="51">
                  <c:v>-0.26896421914784324</c:v>
                </c:pt>
                <c:pt idx="52">
                  <c:v>-0.26896421914784324</c:v>
                </c:pt>
                <c:pt idx="53">
                  <c:v>-0.27120542423586191</c:v>
                </c:pt>
                <c:pt idx="54">
                  <c:v>-0.2764093931231637</c:v>
                </c:pt>
                <c:pt idx="55">
                  <c:v>-0.27919723359850401</c:v>
                </c:pt>
                <c:pt idx="56">
                  <c:v>-0.28117605370060827</c:v>
                </c:pt>
                <c:pt idx="57">
                  <c:v>-0.28406228854566645</c:v>
                </c:pt>
                <c:pt idx="58">
                  <c:v>-0.28611763760199571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95-47ED-B5D8-60A31108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8432"/>
        <c:axId val="1"/>
      </c:scatterChart>
      <c:valAx>
        <c:axId val="42671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20474777448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45103857566766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06824925816024"/>
          <c:y val="0.91277520216514996"/>
          <c:w val="0.60385756676557867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006025244954"/>
          <c:y val="0.234375"/>
          <c:w val="0.8079377603201889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B-4877-940C-6E63F33A218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B-4877-940C-6E63F33A218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EB-4877-940C-6E63F33A218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EB-4877-940C-6E63F33A218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EB-4877-940C-6E63F33A218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EB-4877-940C-6E63F33A218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EB-4877-940C-6E63F33A218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EB-4877-940C-6E63F33A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9744"/>
        <c:axId val="1"/>
      </c:scatterChart>
      <c:valAx>
        <c:axId val="426719744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738491021955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7969837103695"/>
          <c:y val="0.90937500000000004"/>
          <c:w val="0.7111122776319627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893147790488452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7567449709257"/>
          <c:y val="0.23529411764705882"/>
          <c:w val="0.81761131831533496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1-47AF-B9E2-9CCB6A7B360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1-47AF-B9E2-9CCB6A7B3602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1-47AF-B9E2-9CCB6A7B3602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1-47AF-B9E2-9CCB6A7B3602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1-47AF-B9E2-9CCB6A7B360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1-47AF-B9E2-9CCB6A7B360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1-47AF-B9E2-9CCB6A7B360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1-47AF-B9E2-9CCB6A7B3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2856"/>
        <c:axId val="1"/>
      </c:scatterChart>
      <c:valAx>
        <c:axId val="42671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7944172072833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59119496855348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2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9466977005233"/>
          <c:y val="0.91331269349845201"/>
          <c:w val="0.7044036712392083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4623596576757"/>
          <c:y val="0.234375"/>
          <c:w val="0.82222349675021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21-40DE-A32E-C34BFDBEDE8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0.77510000000620494</c:v>
                </c:pt>
                <c:pt idx="2">
                  <c:v>0.31769999999960419</c:v>
                </c:pt>
                <c:pt idx="3">
                  <c:v>0.18649999999615829</c:v>
                </c:pt>
                <c:pt idx="4">
                  <c:v>8.090000000083819E-2</c:v>
                </c:pt>
                <c:pt idx="5">
                  <c:v>8.2600000001548324E-2</c:v>
                </c:pt>
                <c:pt idx="6">
                  <c:v>-0.37470000000030268</c:v>
                </c:pt>
                <c:pt idx="7">
                  <c:v>-0.34460000000399305</c:v>
                </c:pt>
                <c:pt idx="8">
                  <c:v>0.70930000000225846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21-40DE-A32E-C34BFDBEDE8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21-40DE-A32E-C34BFDBEDE8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21-40DE-A32E-C34BFDBEDE8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21-40DE-A32E-C34BFDBEDE8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21-40DE-A32E-C34BFDBEDE8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21-40DE-A32E-C34BFDBEDE8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6.2356610784133612E-2</c:v>
                </c:pt>
                <c:pt idx="1">
                  <c:v>0.16468194092642785</c:v>
                </c:pt>
                <c:pt idx="2">
                  <c:v>0.1648572207799523</c:v>
                </c:pt>
                <c:pt idx="3">
                  <c:v>0.1691325250333095</c:v>
                </c:pt>
                <c:pt idx="4">
                  <c:v>0.17367455949855171</c:v>
                </c:pt>
                <c:pt idx="5">
                  <c:v>0.17367455949855171</c:v>
                </c:pt>
                <c:pt idx="6">
                  <c:v>0.17400987747920718</c:v>
                </c:pt>
                <c:pt idx="7">
                  <c:v>0.1750767983267473</c:v>
                </c:pt>
                <c:pt idx="8">
                  <c:v>0.17533590767543561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21-40DE-A32E-C34BFDBE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1712"/>
        <c:axId val="1"/>
      </c:scatterChart>
      <c:valAx>
        <c:axId val="42672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654751489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31762696329624"/>
          <c:y val="0.91249999999999998"/>
          <c:w val="0.87142990459525893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238125</xdr:colOff>
      <xdr:row>18</xdr:row>
      <xdr:rowOff>38100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C63624CA-BFA7-C8EF-DB29-EFF1B32F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27</xdr:col>
      <xdr:colOff>314325</xdr:colOff>
      <xdr:row>18</xdr:row>
      <xdr:rowOff>47625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1AB4AC4A-6B1C-9532-E33C-695821DF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2DCC329E-5E92-013C-F1E2-066E8211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30</xdr:row>
      <xdr:rowOff>19050</xdr:rowOff>
    </xdr:from>
    <xdr:to>
      <xdr:col>13</xdr:col>
      <xdr:colOff>295275</xdr:colOff>
      <xdr:row>49</xdr:row>
      <xdr:rowOff>19050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0ACCF01C-4902-B7C5-13DB-AF7763E9B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A9D385-7D9F-5900-072E-7AA9DDD0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71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aavso.org/sites/default/files/jaavso/v36n2/171.pdf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164"/>
  <sheetViews>
    <sheetView tabSelected="1" workbookViewId="0">
      <pane xSplit="13" ySplit="22" topLeftCell="N69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7109375" style="1" customWidth="1"/>
    <col min="2" max="2" width="5.140625" style="1" customWidth="1"/>
    <col min="3" max="3" width="13.71093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291</v>
      </c>
    </row>
    <row r="2" spans="1:6" x14ac:dyDescent="0.2">
      <c r="A2" s="1" t="s">
        <v>2</v>
      </c>
      <c r="B2" s="32" t="s">
        <v>292</v>
      </c>
      <c r="C2" s="17" t="s">
        <v>43</v>
      </c>
    </row>
    <row r="4" spans="1:6" x14ac:dyDescent="0.2">
      <c r="A4" s="4" t="s">
        <v>3</v>
      </c>
      <c r="C4" s="5">
        <v>25247.54</v>
      </c>
      <c r="D4" s="6">
        <v>3.7012</v>
      </c>
    </row>
    <row r="5" spans="1:6" x14ac:dyDescent="0.2">
      <c r="A5" s="33" t="s">
        <v>293</v>
      </c>
      <c r="B5"/>
      <c r="C5" s="34">
        <v>-9.5</v>
      </c>
      <c r="D5" t="s">
        <v>294</v>
      </c>
      <c r="E5" s="18"/>
    </row>
    <row r="6" spans="1:6" x14ac:dyDescent="0.2">
      <c r="A6" s="4" t="s">
        <v>4</v>
      </c>
      <c r="D6" s="17"/>
      <c r="E6" s="18"/>
    </row>
    <row r="7" spans="1:6" x14ac:dyDescent="0.2">
      <c r="A7" s="1" t="s">
        <v>5</v>
      </c>
      <c r="C7" s="1">
        <f>+C4</f>
        <v>25247.54</v>
      </c>
      <c r="D7" s="17" t="s">
        <v>44</v>
      </c>
    </row>
    <row r="8" spans="1:6" x14ac:dyDescent="0.2">
      <c r="A8" s="1" t="s">
        <v>6</v>
      </c>
      <c r="C8" s="17">
        <v>1.6194606928826001</v>
      </c>
      <c r="D8" s="17" t="s">
        <v>45</v>
      </c>
    </row>
    <row r="9" spans="1:6" x14ac:dyDescent="0.2">
      <c r="A9" s="35" t="s">
        <v>295</v>
      </c>
      <c r="B9" s="36">
        <v>21</v>
      </c>
      <c r="C9" s="37" t="str">
        <f>"F"&amp;B9</f>
        <v>F21</v>
      </c>
      <c r="D9" s="38" t="str">
        <f>"G"&amp;B9</f>
        <v>G21</v>
      </c>
    </row>
    <row r="10" spans="1:6" x14ac:dyDescent="0.2">
      <c r="A10"/>
      <c r="B10"/>
      <c r="C10" s="7" t="s">
        <v>7</v>
      </c>
      <c r="D10" s="7" t="s">
        <v>8</v>
      </c>
      <c r="E10"/>
    </row>
    <row r="11" spans="1:6" x14ac:dyDescent="0.2">
      <c r="A11" t="s">
        <v>9</v>
      </c>
      <c r="B11"/>
      <c r="C11" s="39">
        <f ca="1">INTERCEPT(INDIRECT($D$9):G987,INDIRECT($C$9):F987)</f>
        <v>-5.9515404141690625E-2</v>
      </c>
      <c r="D11" s="8"/>
      <c r="E11"/>
    </row>
    <row r="12" spans="1:6" x14ac:dyDescent="0.2">
      <c r="A12" t="s">
        <v>10</v>
      </c>
      <c r="B12"/>
      <c r="C12" s="39">
        <f ca="1">SLOPE(INDIRECT($D$9):G987,INDIRECT($C$9):F987)</f>
        <v>-1.0932707746432437E-5</v>
      </c>
      <c r="D12" s="8"/>
      <c r="E12"/>
    </row>
    <row r="13" spans="1:6" x14ac:dyDescent="0.2">
      <c r="A13" t="s">
        <v>11</v>
      </c>
      <c r="B13"/>
      <c r="C13" s="8" t="s">
        <v>12</v>
      </c>
    </row>
    <row r="14" spans="1:6" x14ac:dyDescent="0.2">
      <c r="A14"/>
      <c r="B14"/>
      <c r="C14"/>
    </row>
    <row r="15" spans="1:6" x14ac:dyDescent="0.2">
      <c r="A15" s="40" t="s">
        <v>14</v>
      </c>
      <c r="B15"/>
      <c r="C15" s="41">
        <f ca="1">(C7+C11)+(C8+C12)*INT(MAX(F21:F3528))</f>
        <v>59906.944251858076</v>
      </c>
      <c r="E15" s="35" t="s">
        <v>296</v>
      </c>
      <c r="F15" s="34">
        <v>1</v>
      </c>
    </row>
    <row r="16" spans="1:6" x14ac:dyDescent="0.2">
      <c r="A16" s="40" t="s">
        <v>15</v>
      </c>
      <c r="B16"/>
      <c r="C16" s="41">
        <f ca="1">+C8+C12</f>
        <v>1.6194497601748536</v>
      </c>
      <c r="E16" s="35" t="s">
        <v>297</v>
      </c>
      <c r="F16" s="39">
        <f ca="1">NOW()+15018.5+$C$5/24</f>
        <v>60162.832660995366</v>
      </c>
    </row>
    <row r="17" spans="1:19" x14ac:dyDescent="0.2">
      <c r="A17" s="35" t="s">
        <v>298</v>
      </c>
      <c r="B17"/>
      <c r="C17">
        <f>COUNT(C21:C2186)</f>
        <v>65</v>
      </c>
      <c r="E17" s="35" t="s">
        <v>299</v>
      </c>
      <c r="F17" s="39">
        <f ca="1">ROUND(2*(F16-$C$7)/$C$8,0)/2+F15</f>
        <v>21561</v>
      </c>
    </row>
    <row r="18" spans="1:19" x14ac:dyDescent="0.2">
      <c r="A18" s="40" t="s">
        <v>18</v>
      </c>
      <c r="B18"/>
      <c r="C18" s="42">
        <f ca="1">+C15</f>
        <v>59906.944251858076</v>
      </c>
      <c r="D18" s="43">
        <f ca="1">+C16</f>
        <v>1.6194497601748536</v>
      </c>
      <c r="E18" s="35" t="s">
        <v>300</v>
      </c>
      <c r="F18" s="38">
        <f ca="1">ROUND(2*(F16-$C$15)/$C$16,0)/2+F15</f>
        <v>159</v>
      </c>
    </row>
    <row r="19" spans="1:19" x14ac:dyDescent="0.2">
      <c r="E19" s="35" t="s">
        <v>301</v>
      </c>
      <c r="F19" s="44">
        <f ca="1">+$C$15+$C$16*F18-15018.5-$C$5/24</f>
        <v>45146.332597059212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302</v>
      </c>
      <c r="M20" s="10" t="s">
        <v>303</v>
      </c>
      <c r="N20" s="10" t="s">
        <v>304</v>
      </c>
      <c r="O20" s="10" t="s">
        <v>33</v>
      </c>
      <c r="P20" s="10" t="s">
        <v>34</v>
      </c>
      <c r="Q20" s="7" t="s">
        <v>35</v>
      </c>
      <c r="S20" s="10" t="s">
        <v>36</v>
      </c>
    </row>
    <row r="21" spans="1:19" x14ac:dyDescent="0.2">
      <c r="A21" s="45" t="s">
        <v>37</v>
      </c>
      <c r="B21" s="46"/>
      <c r="C21" s="45">
        <v>50096.321300000003</v>
      </c>
      <c r="D21" s="45">
        <v>2.0999999999999999E-3</v>
      </c>
      <c r="E21" s="47">
        <f t="shared" ref="E21:E52" si="0">+(C21-C$7)/C$8</f>
        <v>15343.861946886642</v>
      </c>
      <c r="F21" s="47">
        <f t="shared" ref="F21:F52" si="1">ROUND(2*E21,0)/2</f>
        <v>15344</v>
      </c>
      <c r="G21" s="47">
        <f t="shared" ref="G21:G52" si="2">+C21-(C$7+F21*C$8)</f>
        <v>-0.22357159061357379</v>
      </c>
      <c r="H21" s="47"/>
      <c r="I21" s="47"/>
      <c r="J21" s="47"/>
      <c r="K21" s="47">
        <f>+G21</f>
        <v>-0.22357159061357379</v>
      </c>
      <c r="L21" s="47"/>
      <c r="M21" s="47"/>
      <c r="N21" s="47"/>
      <c r="O21" s="47">
        <f t="shared" ref="O21:O52" ca="1" si="3">+C$11+C$12*$F21</f>
        <v>-0.22726687180294994</v>
      </c>
      <c r="P21" s="47"/>
      <c r="Q21" s="77">
        <f t="shared" ref="Q21:Q52" si="4">+C21-15018.5</f>
        <v>35077.821300000003</v>
      </c>
      <c r="R21" s="47"/>
      <c r="S21" s="47">
        <f t="shared" ref="S21:S52" ca="1" si="5">+(O21-G21)^2</f>
        <v>1.3655103068557202E-5</v>
      </c>
    </row>
    <row r="22" spans="1:19" x14ac:dyDescent="0.2">
      <c r="A22" s="45" t="s">
        <v>37</v>
      </c>
      <c r="B22" s="46"/>
      <c r="C22" s="45">
        <v>50138.4277</v>
      </c>
      <c r="D22" s="45">
        <v>2.3E-3</v>
      </c>
      <c r="E22" s="47">
        <f t="shared" si="0"/>
        <v>15369.862207457985</v>
      </c>
      <c r="F22" s="47">
        <f t="shared" si="1"/>
        <v>15370</v>
      </c>
      <c r="G22" s="47">
        <f t="shared" si="2"/>
        <v>-0.22314960556104779</v>
      </c>
      <c r="H22" s="47"/>
      <c r="I22" s="47"/>
      <c r="J22" s="47"/>
      <c r="K22" s="47">
        <f>+G22</f>
        <v>-0.22314960556104779</v>
      </c>
      <c r="L22" s="47"/>
      <c r="M22" s="47"/>
      <c r="N22" s="47"/>
      <c r="O22" s="47">
        <f t="shared" ca="1" si="3"/>
        <v>-0.22755112220435719</v>
      </c>
      <c r="P22" s="47"/>
      <c r="Q22" s="77">
        <f t="shared" si="4"/>
        <v>35119.9277</v>
      </c>
      <c r="R22" s="47"/>
      <c r="S22" s="47">
        <f t="shared" ca="1" si="5"/>
        <v>1.9373348761329646E-5</v>
      </c>
    </row>
    <row r="23" spans="1:19" x14ac:dyDescent="0.2">
      <c r="A23" s="48" t="s">
        <v>199</v>
      </c>
      <c r="B23" s="49" t="s">
        <v>40</v>
      </c>
      <c r="C23" s="48">
        <v>51144.902000000002</v>
      </c>
      <c r="D23" s="47"/>
      <c r="E23" s="47">
        <f t="shared" si="0"/>
        <v>15991.349536186231</v>
      </c>
      <c r="F23" s="47">
        <f t="shared" si="1"/>
        <v>15991.5</v>
      </c>
      <c r="G23" s="47">
        <f t="shared" si="2"/>
        <v>-0.2436702320992481</v>
      </c>
      <c r="H23" s="47"/>
      <c r="J23" s="47"/>
      <c r="K23" s="47">
        <f>+G23</f>
        <v>-0.2436702320992481</v>
      </c>
      <c r="L23" s="47"/>
      <c r="M23" s="47"/>
      <c r="N23" s="47"/>
      <c r="O23" s="47">
        <f t="shared" ca="1" si="3"/>
        <v>-0.23434580006876493</v>
      </c>
      <c r="P23" s="47"/>
      <c r="Q23" s="77">
        <f t="shared" si="4"/>
        <v>36126.402000000002</v>
      </c>
      <c r="S23" s="47">
        <f t="shared" ca="1" si="5"/>
        <v>8.6945032691100398E-5</v>
      </c>
    </row>
    <row r="24" spans="1:19" x14ac:dyDescent="0.2">
      <c r="A24" s="13" t="s">
        <v>38</v>
      </c>
      <c r="B24" s="50"/>
      <c r="C24" s="13">
        <v>51176.483099999998</v>
      </c>
      <c r="D24" s="13">
        <v>2.5999999999999999E-3</v>
      </c>
      <c r="E24" s="47">
        <f t="shared" si="0"/>
        <v>16010.85053435111</v>
      </c>
      <c r="F24" s="47">
        <f t="shared" si="1"/>
        <v>16011</v>
      </c>
      <c r="G24" s="47">
        <f t="shared" si="2"/>
        <v>-0.24205374331359053</v>
      </c>
      <c r="H24" s="47"/>
      <c r="I24" s="47"/>
      <c r="J24" s="47">
        <f>+G24</f>
        <v>-0.24205374331359053</v>
      </c>
      <c r="K24" s="47"/>
      <c r="L24" s="47"/>
      <c r="M24" s="47"/>
      <c r="N24" s="47"/>
      <c r="O24" s="47">
        <f t="shared" ca="1" si="3"/>
        <v>-0.23455898786982038</v>
      </c>
      <c r="P24" s="47"/>
      <c r="Q24" s="77">
        <f t="shared" si="4"/>
        <v>36157.983099999998</v>
      </c>
      <c r="R24" s="47"/>
      <c r="S24" s="47">
        <f t="shared" ca="1" si="5"/>
        <v>5.6171359161922318E-5</v>
      </c>
    </row>
    <row r="25" spans="1:19" x14ac:dyDescent="0.2">
      <c r="A25" s="48" t="s">
        <v>203</v>
      </c>
      <c r="B25" s="49" t="s">
        <v>40</v>
      </c>
      <c r="C25" s="48">
        <v>51555.442499999997</v>
      </c>
      <c r="D25" s="47"/>
      <c r="E25" s="47">
        <f t="shared" si="0"/>
        <v>16244.853990974352</v>
      </c>
      <c r="F25" s="47">
        <f t="shared" si="1"/>
        <v>16245</v>
      </c>
      <c r="G25" s="47">
        <f t="shared" si="2"/>
        <v>-0.23645587784267263</v>
      </c>
      <c r="H25" s="47"/>
      <c r="J25" s="47"/>
      <c r="K25" s="47">
        <f>+G25</f>
        <v>-0.23645587784267263</v>
      </c>
      <c r="L25" s="47"/>
      <c r="M25" s="47"/>
      <c r="N25" s="47"/>
      <c r="O25" s="47">
        <f t="shared" ca="1" si="3"/>
        <v>-0.23711724148248556</v>
      </c>
      <c r="P25" s="47"/>
      <c r="Q25" s="77">
        <f t="shared" si="4"/>
        <v>36536.942499999997</v>
      </c>
      <c r="S25" s="47">
        <f t="shared" ca="1" si="5"/>
        <v>4.3740186406659778E-7</v>
      </c>
    </row>
    <row r="26" spans="1:19" x14ac:dyDescent="0.2">
      <c r="A26" s="48" t="s">
        <v>203</v>
      </c>
      <c r="B26" s="49" t="s">
        <v>40</v>
      </c>
      <c r="C26" s="48">
        <v>51585.406999999999</v>
      </c>
      <c r="D26" s="47"/>
      <c r="E26" s="47">
        <f t="shared" si="0"/>
        <v>16263.3567555871</v>
      </c>
      <c r="F26" s="47">
        <f t="shared" si="1"/>
        <v>16263.5</v>
      </c>
      <c r="G26" s="47">
        <f t="shared" si="2"/>
        <v>-0.23197869616706157</v>
      </c>
      <c r="H26" s="47"/>
      <c r="J26" s="47"/>
      <c r="K26" s="47">
        <f>+G26</f>
        <v>-0.23197869616706157</v>
      </c>
      <c r="L26" s="47"/>
      <c r="M26" s="47"/>
      <c r="N26" s="47"/>
      <c r="O26" s="47">
        <f t="shared" ca="1" si="3"/>
        <v>-0.23731949657579457</v>
      </c>
      <c r="P26" s="47"/>
      <c r="Q26" s="77">
        <f t="shared" si="4"/>
        <v>36566.906999999999</v>
      </c>
      <c r="S26" s="47">
        <f t="shared" ca="1" si="5"/>
        <v>2.8524149005922564E-5</v>
      </c>
    </row>
    <row r="27" spans="1:19" x14ac:dyDescent="0.2">
      <c r="A27" s="48" t="s">
        <v>199</v>
      </c>
      <c r="B27" s="49" t="s">
        <v>40</v>
      </c>
      <c r="C27" s="48">
        <v>51896.341699999997</v>
      </c>
      <c r="D27" s="47"/>
      <c r="E27" s="47">
        <f t="shared" si="0"/>
        <v>16455.355673107315</v>
      </c>
      <c r="F27" s="47">
        <f t="shared" si="1"/>
        <v>16455.5</v>
      </c>
      <c r="G27" s="47">
        <f t="shared" si="2"/>
        <v>-0.23373172962601529</v>
      </c>
      <c r="H27" s="47"/>
      <c r="J27" s="47"/>
      <c r="K27" s="47">
        <f>+G27</f>
        <v>-0.23373172962601529</v>
      </c>
      <c r="L27" s="47"/>
      <c r="M27" s="47"/>
      <c r="N27" s="47"/>
      <c r="O27" s="47">
        <f t="shared" ca="1" si="3"/>
        <v>-0.2394185764631096</v>
      </c>
      <c r="P27" s="47"/>
      <c r="Q27" s="77">
        <f t="shared" si="4"/>
        <v>36877.841699999997</v>
      </c>
      <c r="S27" s="47">
        <f t="shared" ca="1" si="5"/>
        <v>3.2340226948569514E-5</v>
      </c>
    </row>
    <row r="28" spans="1:19" x14ac:dyDescent="0.2">
      <c r="A28" s="48" t="s">
        <v>213</v>
      </c>
      <c r="B28" s="49" t="s">
        <v>40</v>
      </c>
      <c r="C28" s="48">
        <v>51926.294999999998</v>
      </c>
      <c r="D28" s="47"/>
      <c r="E28" s="47">
        <f t="shared" si="0"/>
        <v>16473.851521837478</v>
      </c>
      <c r="F28" s="47">
        <f t="shared" si="1"/>
        <v>16474</v>
      </c>
      <c r="G28" s="47">
        <f t="shared" si="2"/>
        <v>-0.24045454795123078</v>
      </c>
      <c r="H28" s="47"/>
      <c r="J28" s="47"/>
      <c r="K28" s="47">
        <f>+G28</f>
        <v>-0.24045454795123078</v>
      </c>
      <c r="L28" s="47"/>
      <c r="M28" s="47"/>
      <c r="N28" s="47"/>
      <c r="O28" s="47">
        <f t="shared" ca="1" si="3"/>
        <v>-0.23962083155641858</v>
      </c>
      <c r="P28" s="47"/>
      <c r="Q28" s="77">
        <f t="shared" si="4"/>
        <v>36907.794999999998</v>
      </c>
      <c r="S28" s="47">
        <f t="shared" ca="1" si="5"/>
        <v>6.9508302697864394E-7</v>
      </c>
    </row>
    <row r="29" spans="1:19" x14ac:dyDescent="0.2">
      <c r="A29" s="13" t="s">
        <v>305</v>
      </c>
      <c r="B29" s="51" t="s">
        <v>42</v>
      </c>
      <c r="C29" s="13">
        <v>51956.258450000001</v>
      </c>
      <c r="D29" s="13">
        <v>4.1999999999999997E-3</v>
      </c>
      <c r="E29" s="47">
        <f t="shared" si="0"/>
        <v>16492.353638086232</v>
      </c>
      <c r="F29" s="47">
        <f t="shared" si="1"/>
        <v>16492.5</v>
      </c>
      <c r="G29" s="47">
        <f t="shared" si="2"/>
        <v>-0.23702736628183629</v>
      </c>
      <c r="H29" s="47"/>
      <c r="J29" s="47"/>
      <c r="K29" s="47">
        <f>+G29</f>
        <v>-0.23702736628183629</v>
      </c>
      <c r="L29" s="47"/>
      <c r="M29" s="47"/>
      <c r="N29" s="47"/>
      <c r="O29" s="47">
        <f t="shared" ca="1" si="3"/>
        <v>-0.2398230866497276</v>
      </c>
      <c r="P29" s="47"/>
      <c r="Q29" s="77">
        <f t="shared" si="4"/>
        <v>36937.758450000001</v>
      </c>
      <c r="S29" s="47">
        <f t="shared" ca="1" si="5"/>
        <v>7.8160523754422784E-6</v>
      </c>
    </row>
    <row r="30" spans="1:19" x14ac:dyDescent="0.2">
      <c r="A30" s="13" t="s">
        <v>38</v>
      </c>
      <c r="B30" s="50"/>
      <c r="C30" s="13">
        <v>52279.335099999997</v>
      </c>
      <c r="D30" s="13">
        <v>5.0000000000000001E-4</v>
      </c>
      <c r="E30" s="47">
        <f t="shared" si="0"/>
        <v>16691.850082439523</v>
      </c>
      <c r="F30" s="47">
        <f t="shared" si="1"/>
        <v>16692</v>
      </c>
      <c r="G30" s="47">
        <f t="shared" si="2"/>
        <v>-0.24278559636150021</v>
      </c>
      <c r="H30" s="47"/>
      <c r="I30" s="47"/>
      <c r="J30" s="47">
        <f>+G30</f>
        <v>-0.24278559636150021</v>
      </c>
      <c r="K30" s="47"/>
      <c r="L30" s="47"/>
      <c r="M30" s="47"/>
      <c r="N30" s="47"/>
      <c r="O30" s="47">
        <f t="shared" ca="1" si="3"/>
        <v>-0.24200416184514087</v>
      </c>
      <c r="P30" s="47"/>
      <c r="Q30" s="77">
        <f t="shared" si="4"/>
        <v>37260.835099999997</v>
      </c>
      <c r="R30" s="47"/>
      <c r="S30" s="47">
        <f t="shared" ca="1" si="5"/>
        <v>6.1063990335775827E-7</v>
      </c>
    </row>
    <row r="31" spans="1:19" x14ac:dyDescent="0.2">
      <c r="A31" s="48" t="s">
        <v>73</v>
      </c>
      <c r="B31" s="49" t="s">
        <v>40</v>
      </c>
      <c r="C31" s="48">
        <v>52279.335200000001</v>
      </c>
      <c r="D31" s="47"/>
      <c r="E31" s="47">
        <f t="shared" si="0"/>
        <v>16691.850144188476</v>
      </c>
      <c r="F31" s="47">
        <f t="shared" si="1"/>
        <v>16692</v>
      </c>
      <c r="G31" s="47">
        <f t="shared" si="2"/>
        <v>-0.24268559635675047</v>
      </c>
      <c r="H31" s="47"/>
      <c r="J31" s="47"/>
      <c r="K31" s="47">
        <f t="shared" ref="K31:K36" si="6">+G31</f>
        <v>-0.24268559635675047</v>
      </c>
      <c r="L31" s="47"/>
      <c r="M31" s="47"/>
      <c r="N31" s="47"/>
      <c r="O31" s="47">
        <f t="shared" ca="1" si="3"/>
        <v>-0.24200416184514087</v>
      </c>
      <c r="P31" s="47"/>
      <c r="Q31" s="77">
        <f t="shared" si="4"/>
        <v>37260.835200000001</v>
      </c>
      <c r="S31" s="47">
        <f t="shared" ca="1" si="5"/>
        <v>4.6435299361260938E-7</v>
      </c>
    </row>
    <row r="32" spans="1:19" x14ac:dyDescent="0.2">
      <c r="A32" s="52" t="s">
        <v>39</v>
      </c>
      <c r="B32" s="50" t="s">
        <v>40</v>
      </c>
      <c r="C32" s="52">
        <v>52279.336799999997</v>
      </c>
      <c r="D32" s="52">
        <v>5.0000000000000001E-3</v>
      </c>
      <c r="E32" s="47">
        <f t="shared" si="0"/>
        <v>16691.851132171701</v>
      </c>
      <c r="F32" s="47">
        <f t="shared" si="1"/>
        <v>16692</v>
      </c>
      <c r="G32" s="47">
        <f t="shared" si="2"/>
        <v>-0.24108559636079008</v>
      </c>
      <c r="H32" s="47"/>
      <c r="I32" s="47"/>
      <c r="J32" s="47"/>
      <c r="K32" s="47">
        <f t="shared" si="6"/>
        <v>-0.24108559636079008</v>
      </c>
      <c r="L32" s="47"/>
      <c r="M32" s="47"/>
      <c r="N32" s="47"/>
      <c r="O32" s="47">
        <f t="shared" ca="1" si="3"/>
        <v>-0.24200416184514087</v>
      </c>
      <c r="P32" s="47"/>
      <c r="Q32" s="77">
        <f t="shared" si="4"/>
        <v>37260.836799999997</v>
      </c>
      <c r="R32" s="47"/>
      <c r="S32" s="47">
        <f t="shared" ca="1" si="5"/>
        <v>8.4376254904060471E-7</v>
      </c>
    </row>
    <row r="33" spans="1:19" x14ac:dyDescent="0.2">
      <c r="A33" s="13" t="s">
        <v>305</v>
      </c>
      <c r="B33" s="51" t="s">
        <v>40</v>
      </c>
      <c r="C33" s="13">
        <v>52321.443729999999</v>
      </c>
      <c r="D33" s="13">
        <v>2.2000000000000001E-3</v>
      </c>
      <c r="E33" s="47">
        <f t="shared" si="0"/>
        <v>16717.851720012492</v>
      </c>
      <c r="F33" s="47">
        <f t="shared" si="1"/>
        <v>16718</v>
      </c>
      <c r="G33" s="47">
        <f t="shared" si="2"/>
        <v>-0.24013361131073907</v>
      </c>
      <c r="H33" s="47"/>
      <c r="J33" s="47"/>
      <c r="K33" s="47">
        <f t="shared" si="6"/>
        <v>-0.24013361131073907</v>
      </c>
      <c r="L33" s="47"/>
      <c r="M33" s="47"/>
      <c r="N33" s="47"/>
      <c r="O33" s="47">
        <f t="shared" ca="1" si="3"/>
        <v>-0.2422884122465481</v>
      </c>
      <c r="P33" s="47"/>
      <c r="Q33" s="77">
        <f t="shared" si="4"/>
        <v>37302.943729999999</v>
      </c>
      <c r="S33" s="47">
        <f t="shared" ca="1" si="5"/>
        <v>4.6431670729634532E-6</v>
      </c>
    </row>
    <row r="34" spans="1:19" x14ac:dyDescent="0.2">
      <c r="A34" s="48" t="s">
        <v>199</v>
      </c>
      <c r="B34" s="49" t="s">
        <v>42</v>
      </c>
      <c r="C34" s="48">
        <v>52350.592100000002</v>
      </c>
      <c r="D34" s="47"/>
      <c r="E34" s="47">
        <f t="shared" si="0"/>
        <v>16735.850532906257</v>
      </c>
      <c r="F34" s="47">
        <f t="shared" si="1"/>
        <v>16736</v>
      </c>
      <c r="G34" s="47">
        <f t="shared" si="2"/>
        <v>-0.24205608318879968</v>
      </c>
      <c r="H34" s="47"/>
      <c r="J34" s="47"/>
      <c r="K34" s="47">
        <f t="shared" si="6"/>
        <v>-0.24205608318879968</v>
      </c>
      <c r="L34" s="47"/>
      <c r="M34" s="47"/>
      <c r="N34" s="47"/>
      <c r="O34" s="47">
        <f t="shared" ca="1" si="3"/>
        <v>-0.24248520098598389</v>
      </c>
      <c r="P34" s="47"/>
      <c r="Q34" s="77">
        <f t="shared" si="4"/>
        <v>37332.092100000002</v>
      </c>
      <c r="S34" s="47">
        <f t="shared" ca="1" si="5"/>
        <v>1.8414208386023236E-7</v>
      </c>
    </row>
    <row r="35" spans="1:19" x14ac:dyDescent="0.2">
      <c r="A35" s="52" t="s">
        <v>39</v>
      </c>
      <c r="B35" s="50" t="s">
        <v>40</v>
      </c>
      <c r="C35" s="52">
        <v>52360.305899999999</v>
      </c>
      <c r="D35" s="52">
        <v>3.7000000000000002E-3</v>
      </c>
      <c r="E35" s="47">
        <f t="shared" si="0"/>
        <v>16741.848702570202</v>
      </c>
      <c r="F35" s="47">
        <f t="shared" si="1"/>
        <v>16742</v>
      </c>
      <c r="G35" s="47">
        <f t="shared" si="2"/>
        <v>-0.24502024049434112</v>
      </c>
      <c r="H35" s="47"/>
      <c r="I35" s="47"/>
      <c r="J35" s="47"/>
      <c r="K35" s="47">
        <f t="shared" si="6"/>
        <v>-0.24502024049434112</v>
      </c>
      <c r="L35" s="47"/>
      <c r="M35" s="47"/>
      <c r="N35" s="47"/>
      <c r="O35" s="47">
        <f t="shared" ca="1" si="3"/>
        <v>-0.24255079723246248</v>
      </c>
      <c r="P35" s="47"/>
      <c r="Q35" s="77">
        <f t="shared" si="4"/>
        <v>37341.805899999999</v>
      </c>
      <c r="R35" s="47"/>
      <c r="S35" s="47">
        <f t="shared" ca="1" si="5"/>
        <v>6.0981500236378446E-6</v>
      </c>
    </row>
    <row r="36" spans="1:19" x14ac:dyDescent="0.2">
      <c r="A36" s="48" t="s">
        <v>199</v>
      </c>
      <c r="B36" s="49" t="s">
        <v>42</v>
      </c>
      <c r="C36" s="48">
        <v>52609.7039</v>
      </c>
      <c r="D36" s="47"/>
      <c r="E36" s="47">
        <f t="shared" si="0"/>
        <v>16895.84935296949</v>
      </c>
      <c r="F36" s="47">
        <f t="shared" si="1"/>
        <v>16896</v>
      </c>
      <c r="G36" s="47">
        <f t="shared" si="2"/>
        <v>-0.24396694440656574</v>
      </c>
      <c r="H36" s="47"/>
      <c r="J36" s="47"/>
      <c r="K36" s="47">
        <f t="shared" si="6"/>
        <v>-0.24396694440656574</v>
      </c>
      <c r="L36" s="47"/>
      <c r="M36" s="47"/>
      <c r="N36" s="47"/>
      <c r="O36" s="47">
        <f t="shared" ca="1" si="3"/>
        <v>-0.24423443422541308</v>
      </c>
      <c r="P36" s="47"/>
      <c r="Q36" s="77">
        <f t="shared" si="4"/>
        <v>37591.2039</v>
      </c>
      <c r="S36" s="47">
        <f t="shared" ca="1" si="5"/>
        <v>7.1550803186978979E-8</v>
      </c>
    </row>
    <row r="37" spans="1:19" x14ac:dyDescent="0.2">
      <c r="A37" s="13" t="s">
        <v>41</v>
      </c>
      <c r="B37" s="50"/>
      <c r="C37" s="13">
        <v>52619.42</v>
      </c>
      <c r="D37" s="13">
        <v>5.9999999999999995E-4</v>
      </c>
      <c r="E37" s="47">
        <f t="shared" si="0"/>
        <v>16901.84894285932</v>
      </c>
      <c r="F37" s="47">
        <f t="shared" si="1"/>
        <v>16902</v>
      </c>
      <c r="G37" s="47">
        <f t="shared" si="2"/>
        <v>-0.24463110171200242</v>
      </c>
      <c r="H37" s="47"/>
      <c r="I37" s="47"/>
      <c r="J37" s="47">
        <f>+G37</f>
        <v>-0.24463110171200242</v>
      </c>
      <c r="K37" s="47"/>
      <c r="L37" s="47"/>
      <c r="M37" s="47"/>
      <c r="N37" s="47"/>
      <c r="O37" s="47">
        <f t="shared" ca="1" si="3"/>
        <v>-0.24430003047189167</v>
      </c>
      <c r="P37" s="47"/>
      <c r="Q37" s="77">
        <f t="shared" si="4"/>
        <v>37600.92</v>
      </c>
      <c r="R37" s="47"/>
      <c r="S37" s="47">
        <f t="shared" ca="1" si="5"/>
        <v>1.0960816602847184E-7</v>
      </c>
    </row>
    <row r="38" spans="1:19" x14ac:dyDescent="0.2">
      <c r="A38" s="48" t="s">
        <v>199</v>
      </c>
      <c r="B38" s="49" t="s">
        <v>40</v>
      </c>
      <c r="C38" s="48">
        <v>52651.81</v>
      </c>
      <c r="D38" s="47"/>
      <c r="E38" s="47">
        <f t="shared" si="0"/>
        <v>16921.849428293979</v>
      </c>
      <c r="F38" s="47">
        <f t="shared" si="1"/>
        <v>16922</v>
      </c>
      <c r="G38" s="47">
        <f t="shared" si="2"/>
        <v>-0.24384495936101303</v>
      </c>
      <c r="H38" s="47"/>
      <c r="J38" s="47"/>
      <c r="K38" s="47">
        <f t="shared" ref="K38:K45" si="7">+G38</f>
        <v>-0.24384495936101303</v>
      </c>
      <c r="L38" s="47"/>
      <c r="M38" s="47"/>
      <c r="N38" s="47"/>
      <c r="O38" s="47">
        <f t="shared" ca="1" si="3"/>
        <v>-0.24451868462682033</v>
      </c>
      <c r="P38" s="47"/>
      <c r="Q38" s="77">
        <f t="shared" si="4"/>
        <v>37633.31</v>
      </c>
      <c r="S38" s="47">
        <f t="shared" ca="1" si="5"/>
        <v>4.5390573378712612E-7</v>
      </c>
    </row>
    <row r="39" spans="1:19" x14ac:dyDescent="0.2">
      <c r="A39" s="48" t="s">
        <v>199</v>
      </c>
      <c r="B39" s="49" t="s">
        <v>42</v>
      </c>
      <c r="C39" s="48">
        <v>52669.623699999996</v>
      </c>
      <c r="D39" s="47"/>
      <c r="E39" s="47">
        <f t="shared" si="0"/>
        <v>16932.849201291428</v>
      </c>
      <c r="F39" s="47">
        <f t="shared" si="1"/>
        <v>16933</v>
      </c>
      <c r="G39" s="47">
        <f t="shared" si="2"/>
        <v>-0.24421258107031463</v>
      </c>
      <c r="H39" s="47"/>
      <c r="J39" s="47"/>
      <c r="K39" s="47">
        <f t="shared" si="7"/>
        <v>-0.24421258107031463</v>
      </c>
      <c r="L39" s="47"/>
      <c r="M39" s="47"/>
      <c r="N39" s="47"/>
      <c r="O39" s="47">
        <f t="shared" ca="1" si="3"/>
        <v>-0.24463894441203107</v>
      </c>
      <c r="P39" s="47"/>
      <c r="Q39" s="77">
        <f t="shared" si="4"/>
        <v>37651.123699999996</v>
      </c>
      <c r="S39" s="47">
        <f t="shared" ca="1" si="5"/>
        <v>1.8178569915961479E-7</v>
      </c>
    </row>
    <row r="40" spans="1:19" s="47" customFormat="1" x14ac:dyDescent="0.2">
      <c r="A40" s="52" t="s">
        <v>39</v>
      </c>
      <c r="B40" s="50" t="s">
        <v>42</v>
      </c>
      <c r="C40" s="52">
        <v>52683.3943</v>
      </c>
      <c r="D40" s="52">
        <v>6.1999999999999998E-3</v>
      </c>
      <c r="E40" s="47">
        <f t="shared" si="0"/>
        <v>16941.352402425313</v>
      </c>
      <c r="F40" s="47">
        <f t="shared" si="1"/>
        <v>16941.5</v>
      </c>
      <c r="G40" s="47">
        <f t="shared" si="2"/>
        <v>-0.23902847056888277</v>
      </c>
      <c r="K40" s="47">
        <f t="shared" si="7"/>
        <v>-0.23902847056888277</v>
      </c>
      <c r="O40" s="47">
        <f t="shared" ca="1" si="3"/>
        <v>-0.24473187242787575</v>
      </c>
      <c r="Q40" s="77">
        <f t="shared" si="4"/>
        <v>37664.8943</v>
      </c>
      <c r="S40" s="47">
        <f t="shared" ca="1" si="5"/>
        <v>3.2528792765164635E-5</v>
      </c>
    </row>
    <row r="41" spans="1:19" s="47" customFormat="1" x14ac:dyDescent="0.2">
      <c r="A41" s="48" t="s">
        <v>199</v>
      </c>
      <c r="B41" s="49" t="s">
        <v>42</v>
      </c>
      <c r="C41" s="48">
        <v>53035.618399999999</v>
      </c>
      <c r="E41" s="47">
        <f t="shared" si="0"/>
        <v>17158.847091582014</v>
      </c>
      <c r="F41" s="47">
        <f t="shared" si="1"/>
        <v>17159</v>
      </c>
      <c r="G41" s="47">
        <f t="shared" si="2"/>
        <v>-0.24762917253974592</v>
      </c>
      <c r="I41" s="1"/>
      <c r="K41" s="47">
        <f t="shared" si="7"/>
        <v>-0.24762917253974592</v>
      </c>
      <c r="O41" s="47">
        <f t="shared" ca="1" si="3"/>
        <v>-0.24710973636272482</v>
      </c>
      <c r="Q41" s="77">
        <f t="shared" si="4"/>
        <v>38017.118399999999</v>
      </c>
      <c r="R41" s="1"/>
      <c r="S41" s="47">
        <f t="shared" ca="1" si="5"/>
        <v>2.6981394199829991E-7</v>
      </c>
    </row>
    <row r="42" spans="1:19" s="47" customFormat="1" x14ac:dyDescent="0.2">
      <c r="A42" s="48" t="s">
        <v>199</v>
      </c>
      <c r="B42" s="49" t="s">
        <v>42</v>
      </c>
      <c r="C42" s="48">
        <v>53323.880400000002</v>
      </c>
      <c r="E42" s="47">
        <f t="shared" si="0"/>
        <v>17336.84585454483</v>
      </c>
      <c r="F42" s="47">
        <f t="shared" si="1"/>
        <v>17337</v>
      </c>
      <c r="G42" s="47">
        <f t="shared" si="2"/>
        <v>-0.24963250563450856</v>
      </c>
      <c r="I42" s="1"/>
      <c r="K42" s="47">
        <f t="shared" si="7"/>
        <v>-0.24963250563450856</v>
      </c>
      <c r="O42" s="47">
        <f t="shared" ca="1" si="3"/>
        <v>-0.24905575834158977</v>
      </c>
      <c r="Q42" s="77">
        <f t="shared" si="4"/>
        <v>38305.380400000002</v>
      </c>
      <c r="R42" s="1"/>
      <c r="S42" s="47">
        <f t="shared" ca="1" si="5"/>
        <v>3.3263743988915131E-7</v>
      </c>
    </row>
    <row r="43" spans="1:19" s="47" customFormat="1" x14ac:dyDescent="0.2">
      <c r="A43" s="48" t="s">
        <v>199</v>
      </c>
      <c r="B43" s="49" t="s">
        <v>40</v>
      </c>
      <c r="C43" s="48">
        <v>53413.752200000003</v>
      </c>
      <c r="E43" s="47">
        <f t="shared" si="0"/>
        <v>17392.340748860559</v>
      </c>
      <c r="F43" s="47">
        <f t="shared" si="1"/>
        <v>17392.5</v>
      </c>
      <c r="G43" s="47">
        <f t="shared" si="2"/>
        <v>-0.257900960619736</v>
      </c>
      <c r="I43" s="1"/>
      <c r="K43" s="47">
        <f t="shared" si="7"/>
        <v>-0.257900960619736</v>
      </c>
      <c r="O43" s="47">
        <f t="shared" ca="1" si="3"/>
        <v>-0.24966252362151678</v>
      </c>
      <c r="Q43" s="77">
        <f t="shared" si="4"/>
        <v>38395.252200000003</v>
      </c>
      <c r="R43" s="1"/>
      <c r="S43" s="47">
        <f t="shared" ca="1" si="5"/>
        <v>6.787184417362727E-5</v>
      </c>
    </row>
    <row r="44" spans="1:19" s="47" customFormat="1" x14ac:dyDescent="0.2">
      <c r="A44" s="48" t="s">
        <v>199</v>
      </c>
      <c r="B44" s="49" t="s">
        <v>42</v>
      </c>
      <c r="C44" s="48">
        <v>53435.620999999999</v>
      </c>
      <c r="E44" s="47">
        <f t="shared" si="0"/>
        <v>17405.844503595767</v>
      </c>
      <c r="F44" s="47">
        <f t="shared" si="1"/>
        <v>17406</v>
      </c>
      <c r="G44" s="47">
        <f t="shared" si="2"/>
        <v>-0.25182031453732634</v>
      </c>
      <c r="I44" s="1"/>
      <c r="K44" s="47">
        <f t="shared" si="7"/>
        <v>-0.25182031453732634</v>
      </c>
      <c r="O44" s="47">
        <f t="shared" ca="1" si="3"/>
        <v>-0.24981011517609361</v>
      </c>
      <c r="Q44" s="77">
        <f t="shared" si="4"/>
        <v>38417.120999999999</v>
      </c>
      <c r="R44" s="1"/>
      <c r="S44" s="47">
        <f t="shared" ca="1" si="5"/>
        <v>4.0409014719004694E-6</v>
      </c>
    </row>
    <row r="45" spans="1:19" s="47" customFormat="1" x14ac:dyDescent="0.2">
      <c r="A45" s="48" t="s">
        <v>306</v>
      </c>
      <c r="B45" s="49" t="s">
        <v>40</v>
      </c>
      <c r="C45" s="48">
        <v>53445.340600000003</v>
      </c>
      <c r="E45" s="47">
        <f t="shared" si="0"/>
        <v>17411.84625469891</v>
      </c>
      <c r="F45" s="47">
        <f t="shared" si="1"/>
        <v>17412</v>
      </c>
      <c r="G45" s="47">
        <f t="shared" si="2"/>
        <v>-0.24898447182931704</v>
      </c>
      <c r="I45" s="1"/>
      <c r="J45" s="1"/>
      <c r="K45" s="47">
        <f t="shared" si="7"/>
        <v>-0.24898447182931704</v>
      </c>
      <c r="O45" s="47">
        <f t="shared" ca="1" si="3"/>
        <v>-0.24987571142257223</v>
      </c>
      <c r="Q45" s="77">
        <f t="shared" si="4"/>
        <v>38426.840600000003</v>
      </c>
      <c r="S45" s="47">
        <f t="shared" ca="1" si="5"/>
        <v>7.9430801258566421E-7</v>
      </c>
    </row>
    <row r="46" spans="1:19" x14ac:dyDescent="0.2">
      <c r="A46" s="13" t="s">
        <v>307</v>
      </c>
      <c r="B46" s="51" t="s">
        <v>40</v>
      </c>
      <c r="C46" s="13">
        <v>53717.408100000001</v>
      </c>
      <c r="D46" s="13">
        <v>1.4E-3</v>
      </c>
      <c r="E46" s="47">
        <f t="shared" si="0"/>
        <v>17579.84508368915</v>
      </c>
      <c r="F46" s="47">
        <f t="shared" si="1"/>
        <v>17580</v>
      </c>
      <c r="G46" s="47">
        <f t="shared" si="2"/>
        <v>-0.25088087610492948</v>
      </c>
      <c r="H46" s="47"/>
      <c r="J46" s="47">
        <f>+G46</f>
        <v>-0.25088087610492948</v>
      </c>
      <c r="K46" s="47"/>
      <c r="L46" s="47"/>
      <c r="M46" s="47"/>
      <c r="N46" s="47"/>
      <c r="O46" s="47">
        <f t="shared" ca="1" si="3"/>
        <v>-0.25171240632397285</v>
      </c>
      <c r="P46" s="47"/>
      <c r="Q46" s="77">
        <f t="shared" si="4"/>
        <v>38698.908100000001</v>
      </c>
      <c r="R46" s="47"/>
      <c r="S46" s="47">
        <f t="shared" ca="1" si="5"/>
        <v>6.9144250518230456E-7</v>
      </c>
    </row>
    <row r="47" spans="1:19" x14ac:dyDescent="0.2">
      <c r="A47" s="13" t="s">
        <v>308</v>
      </c>
      <c r="B47" s="51" t="s">
        <v>40</v>
      </c>
      <c r="C47" s="13">
        <v>53751.414510000002</v>
      </c>
      <c r="D47" s="13">
        <v>2.9999999999999997E-4</v>
      </c>
      <c r="E47" s="47">
        <f t="shared" si="0"/>
        <v>17600.843685352935</v>
      </c>
      <c r="F47" s="47">
        <f t="shared" si="1"/>
        <v>17601</v>
      </c>
      <c r="G47" s="47">
        <f t="shared" si="2"/>
        <v>-0.25314542664273176</v>
      </c>
      <c r="H47" s="47"/>
      <c r="J47" s="47"/>
      <c r="K47" s="47">
        <f>+G47</f>
        <v>-0.25314542664273176</v>
      </c>
      <c r="L47" s="47"/>
      <c r="M47" s="47"/>
      <c r="N47" s="47"/>
      <c r="O47" s="47">
        <f t="shared" ca="1" si="3"/>
        <v>-0.25194199318664795</v>
      </c>
      <c r="P47" s="47"/>
      <c r="Q47" s="77">
        <f t="shared" si="4"/>
        <v>38732.914510000002</v>
      </c>
      <c r="S47" s="47">
        <f t="shared" ca="1" si="5"/>
        <v>1.4482520832218315E-6</v>
      </c>
    </row>
    <row r="48" spans="1:19" x14ac:dyDescent="0.2">
      <c r="A48" s="48" t="s">
        <v>264</v>
      </c>
      <c r="B48" s="49" t="s">
        <v>40</v>
      </c>
      <c r="C48" s="48">
        <v>54090.700299999997</v>
      </c>
      <c r="D48" s="47"/>
      <c r="E48" s="47">
        <f t="shared" si="0"/>
        <v>17810.349103725315</v>
      </c>
      <c r="F48" s="47">
        <f t="shared" si="1"/>
        <v>17810.5</v>
      </c>
      <c r="G48" s="47">
        <f t="shared" si="2"/>
        <v>-0.24437058555486146</v>
      </c>
      <c r="H48" s="47"/>
      <c r="J48" s="47"/>
      <c r="K48" s="47">
        <f>+G48</f>
        <v>-0.24437058555486146</v>
      </c>
      <c r="L48" s="47"/>
      <c r="M48" s="47"/>
      <c r="N48" s="47"/>
      <c r="O48" s="47">
        <f t="shared" ca="1" si="3"/>
        <v>-0.25423239545952558</v>
      </c>
      <c r="P48" s="47"/>
      <c r="Q48" s="77">
        <f t="shared" si="4"/>
        <v>39072.200299999997</v>
      </c>
      <c r="S48" s="47">
        <f t="shared" ca="1" si="5"/>
        <v>9.7255294595731344E-5</v>
      </c>
    </row>
    <row r="49" spans="1:19" x14ac:dyDescent="0.2">
      <c r="A49" s="13" t="s">
        <v>309</v>
      </c>
      <c r="B49" s="51" t="s">
        <v>40</v>
      </c>
      <c r="C49" s="13">
        <v>54091.499000000003</v>
      </c>
      <c r="D49" s="13">
        <v>1.1000000000000001E-3</v>
      </c>
      <c r="E49" s="47">
        <f t="shared" si="0"/>
        <v>17810.842292602032</v>
      </c>
      <c r="F49" s="47">
        <f t="shared" si="1"/>
        <v>17811</v>
      </c>
      <c r="G49" s="47">
        <f t="shared" si="2"/>
        <v>-0.25540093198651448</v>
      </c>
      <c r="H49" s="47"/>
      <c r="J49" s="47">
        <f>+G49</f>
        <v>-0.25540093198651448</v>
      </c>
      <c r="K49" s="47"/>
      <c r="L49" s="47"/>
      <c r="M49" s="47"/>
      <c r="N49" s="47"/>
      <c r="O49" s="47">
        <f t="shared" ca="1" si="3"/>
        <v>-0.25423786181339875</v>
      </c>
      <c r="P49" s="47"/>
      <c r="Q49" s="77">
        <f t="shared" si="4"/>
        <v>39072.999000000003</v>
      </c>
      <c r="R49" s="47"/>
      <c r="S49" s="47">
        <f t="shared" ca="1" si="5"/>
        <v>1.3527322275914593E-6</v>
      </c>
    </row>
    <row r="50" spans="1:19" x14ac:dyDescent="0.2">
      <c r="A50" s="48" t="s">
        <v>264</v>
      </c>
      <c r="B50" s="49" t="s">
        <v>40</v>
      </c>
      <c r="C50" s="48">
        <v>54094.737699999998</v>
      </c>
      <c r="D50" s="47"/>
      <c r="E50" s="47">
        <f t="shared" si="0"/>
        <v>17812.842155898637</v>
      </c>
      <c r="F50" s="47">
        <f t="shared" si="1"/>
        <v>17813</v>
      </c>
      <c r="G50" s="47">
        <f t="shared" si="2"/>
        <v>-0.25562231775984401</v>
      </c>
      <c r="H50" s="47"/>
      <c r="J50" s="47"/>
      <c r="K50" s="47">
        <f>+G50</f>
        <v>-0.25562231775984401</v>
      </c>
      <c r="L50" s="47"/>
      <c r="M50" s="47"/>
      <c r="N50" s="47"/>
      <c r="O50" s="47">
        <f t="shared" ca="1" si="3"/>
        <v>-0.25425972722889162</v>
      </c>
      <c r="P50" s="47"/>
      <c r="Q50" s="77">
        <f t="shared" si="4"/>
        <v>39076.237699999998</v>
      </c>
      <c r="S50" s="47">
        <f t="shared" ca="1" si="5"/>
        <v>1.8566529550411161E-6</v>
      </c>
    </row>
    <row r="51" spans="1:19" x14ac:dyDescent="0.2">
      <c r="A51" s="48" t="s">
        <v>264</v>
      </c>
      <c r="B51" s="49" t="s">
        <v>42</v>
      </c>
      <c r="C51" s="48">
        <v>54107.694799999997</v>
      </c>
      <c r="D51" s="47"/>
      <c r="E51" s="47">
        <f t="shared" si="0"/>
        <v>17820.84302931097</v>
      </c>
      <c r="F51" s="47">
        <f t="shared" si="1"/>
        <v>17821</v>
      </c>
      <c r="G51" s="47">
        <f t="shared" si="2"/>
        <v>-0.25420786082395352</v>
      </c>
      <c r="H51" s="47"/>
      <c r="J51" s="47"/>
      <c r="K51" s="47">
        <f>+G51</f>
        <v>-0.25420786082395352</v>
      </c>
      <c r="L51" s="47"/>
      <c r="M51" s="47"/>
      <c r="N51" s="47"/>
      <c r="O51" s="47">
        <f t="shared" ca="1" si="3"/>
        <v>-0.25434718889086305</v>
      </c>
      <c r="P51" s="47"/>
      <c r="Q51" s="77">
        <f t="shared" si="4"/>
        <v>39089.194799999997</v>
      </c>
      <c r="S51" s="47">
        <f t="shared" ca="1" si="5"/>
        <v>1.9412310228745798E-8</v>
      </c>
    </row>
    <row r="52" spans="1:19" s="47" customFormat="1" x14ac:dyDescent="0.2">
      <c r="A52" s="13" t="s">
        <v>310</v>
      </c>
      <c r="B52" s="51" t="s">
        <v>42</v>
      </c>
      <c r="C52" s="13">
        <v>54380.572</v>
      </c>
      <c r="D52" s="13">
        <v>8.9999999999999998E-4</v>
      </c>
      <c r="E52" s="47">
        <f t="shared" si="0"/>
        <v>17989.341839562603</v>
      </c>
      <c r="F52" s="47">
        <f t="shared" si="1"/>
        <v>17989.5</v>
      </c>
      <c r="G52" s="47">
        <f t="shared" si="2"/>
        <v>-0.25613461153989192</v>
      </c>
      <c r="I52" s="1"/>
      <c r="K52" s="47">
        <f>+G52</f>
        <v>-0.25613461153989192</v>
      </c>
      <c r="O52" s="47">
        <f t="shared" ca="1" si="3"/>
        <v>-0.25618935014613697</v>
      </c>
      <c r="Q52" s="77">
        <f t="shared" si="4"/>
        <v>39362.072</v>
      </c>
      <c r="S52" s="47">
        <f t="shared" ca="1" si="5"/>
        <v>2.9963150136509309E-9</v>
      </c>
    </row>
    <row r="53" spans="1:19" x14ac:dyDescent="0.2">
      <c r="A53" s="47" t="s">
        <v>26</v>
      </c>
      <c r="B53" s="47"/>
      <c r="C53" s="73">
        <f>+C36</f>
        <v>52609.7039</v>
      </c>
      <c r="D53" s="45" t="s">
        <v>12</v>
      </c>
      <c r="E53" s="47">
        <f t="shared" ref="E53:E83" si="8">+(C53-C$7)/C$8</f>
        <v>16895.84935296949</v>
      </c>
      <c r="F53" s="47">
        <v>0</v>
      </c>
      <c r="G53" s="47"/>
      <c r="H53" s="38">
        <v>0</v>
      </c>
      <c r="I53" s="47"/>
      <c r="J53" s="47"/>
      <c r="K53" s="47"/>
      <c r="L53" s="47"/>
      <c r="M53" s="47"/>
      <c r="N53" s="47"/>
      <c r="O53" s="47">
        <f t="shared" ref="O53:O83" ca="1" si="9">+C$11+C$12*$F53</f>
        <v>-5.9515404141690625E-2</v>
      </c>
      <c r="P53" s="47"/>
      <c r="Q53" s="77">
        <f t="shared" ref="Q53:Q83" si="10">+C53-15018.5</f>
        <v>37591.2039</v>
      </c>
      <c r="R53" s="47"/>
      <c r="S53" s="47"/>
    </row>
    <row r="54" spans="1:19" s="47" customFormat="1" x14ac:dyDescent="0.2">
      <c r="A54" s="53" t="s">
        <v>311</v>
      </c>
      <c r="B54" s="46" t="s">
        <v>40</v>
      </c>
      <c r="C54" s="45">
        <v>54460.733</v>
      </c>
      <c r="D54" s="45">
        <v>5.0000000000000001E-4</v>
      </c>
      <c r="E54" s="47">
        <f t="shared" si="8"/>
        <v>18038.840416682935</v>
      </c>
      <c r="F54" s="47">
        <f t="shared" ref="F54:F83" si="11">ROUND(2*E54,0)/2</f>
        <v>18039</v>
      </c>
      <c r="G54" s="47">
        <f t="shared" ref="G54:G83" si="12">+C54-(C$7+F54*C$8)</f>
        <v>-0.25843890922260471</v>
      </c>
      <c r="K54" s="47">
        <f>+G54</f>
        <v>-0.25843890922260471</v>
      </c>
      <c r="O54" s="47">
        <f t="shared" ca="1" si="9"/>
        <v>-0.25673051917958534</v>
      </c>
      <c r="Q54" s="77">
        <f t="shared" si="10"/>
        <v>39442.233</v>
      </c>
      <c r="S54" s="47">
        <f t="shared" ref="S54:S83" ca="1" si="13">+(O54-G54)^2</f>
        <v>2.9185965390877248E-6</v>
      </c>
    </row>
    <row r="55" spans="1:19" s="47" customFormat="1" x14ac:dyDescent="0.2">
      <c r="A55" s="13" t="s">
        <v>312</v>
      </c>
      <c r="B55" s="51" t="s">
        <v>40</v>
      </c>
      <c r="C55" s="13">
        <v>54500.415399999998</v>
      </c>
      <c r="D55" s="13">
        <v>2.3E-3</v>
      </c>
      <c r="E55" s="47">
        <f t="shared" si="8"/>
        <v>18063.343882666642</v>
      </c>
      <c r="F55" s="47">
        <f t="shared" si="11"/>
        <v>18063.5</v>
      </c>
      <c r="G55" s="47">
        <f t="shared" si="12"/>
        <v>-0.25282588484697044</v>
      </c>
      <c r="I55" s="1"/>
      <c r="J55" s="47">
        <f>+G55</f>
        <v>-0.25282588484697044</v>
      </c>
      <c r="O55" s="47">
        <f t="shared" ca="1" si="9"/>
        <v>-0.25699837051937291</v>
      </c>
      <c r="Q55" s="77">
        <f t="shared" si="10"/>
        <v>39481.915399999998</v>
      </c>
      <c r="S55" s="47">
        <f t="shared" ca="1" si="13"/>
        <v>1.7409636686403898E-5</v>
      </c>
    </row>
    <row r="56" spans="1:19" s="47" customFormat="1" x14ac:dyDescent="0.2">
      <c r="A56" s="53" t="s">
        <v>311</v>
      </c>
      <c r="B56" s="46" t="s">
        <v>40</v>
      </c>
      <c r="C56" s="45">
        <v>54507.698100000001</v>
      </c>
      <c r="D56" s="45">
        <v>4.0000000000000002E-4</v>
      </c>
      <c r="E56" s="47">
        <f t="shared" si="8"/>
        <v>18067.840873567384</v>
      </c>
      <c r="F56" s="47">
        <f t="shared" si="11"/>
        <v>18068</v>
      </c>
      <c r="G56" s="47">
        <f t="shared" si="12"/>
        <v>-0.25769900281738956</v>
      </c>
      <c r="K56" s="47">
        <f t="shared" ref="K56:K83" si="14">+G56</f>
        <v>-0.25769900281738956</v>
      </c>
      <c r="O56" s="47">
        <f t="shared" ca="1" si="9"/>
        <v>-0.25704756770423187</v>
      </c>
      <c r="Q56" s="77">
        <f t="shared" si="10"/>
        <v>39489.198100000001</v>
      </c>
      <c r="S56" s="47">
        <f t="shared" ca="1" si="13"/>
        <v>4.243677066547638E-7</v>
      </c>
    </row>
    <row r="57" spans="1:19" x14ac:dyDescent="0.2">
      <c r="A57" s="53" t="s">
        <v>311</v>
      </c>
      <c r="B57" s="46" t="s">
        <v>40</v>
      </c>
      <c r="C57" s="45">
        <v>54520.652900000001</v>
      </c>
      <c r="D57" s="45">
        <v>2.0000000000000001E-4</v>
      </c>
      <c r="E57" s="47">
        <f t="shared" si="8"/>
        <v>18075.840326753831</v>
      </c>
      <c r="F57" s="47">
        <f t="shared" si="11"/>
        <v>18076</v>
      </c>
      <c r="G57" s="47">
        <f t="shared" si="12"/>
        <v>-0.25858454588160384</v>
      </c>
      <c r="H57" s="47"/>
      <c r="I57" s="47"/>
      <c r="J57" s="47"/>
      <c r="K57" s="47">
        <f t="shared" si="14"/>
        <v>-0.25858454588160384</v>
      </c>
      <c r="L57" s="47"/>
      <c r="M57" s="47"/>
      <c r="N57" s="47"/>
      <c r="O57" s="47">
        <f t="shared" ca="1" si="9"/>
        <v>-0.25713502936620336</v>
      </c>
      <c r="P57" s="47"/>
      <c r="Q57" s="77">
        <f t="shared" si="10"/>
        <v>39502.152900000001</v>
      </c>
      <c r="R57" s="47"/>
      <c r="S57" s="47">
        <f t="shared" ca="1" si="13"/>
        <v>2.1010981284187617E-6</v>
      </c>
    </row>
    <row r="58" spans="1:19" x14ac:dyDescent="0.2">
      <c r="A58" s="13" t="s">
        <v>313</v>
      </c>
      <c r="B58" s="51" t="s">
        <v>40</v>
      </c>
      <c r="C58" s="13">
        <v>54800.815900000001</v>
      </c>
      <c r="D58" s="13">
        <v>1.5E-3</v>
      </c>
      <c r="E58" s="47">
        <f t="shared" si="8"/>
        <v>18248.838042123702</v>
      </c>
      <c r="F58" s="47">
        <f t="shared" si="11"/>
        <v>18249</v>
      </c>
      <c r="G58" s="47">
        <f t="shared" si="12"/>
        <v>-0.26228441456623841</v>
      </c>
      <c r="H58" s="47"/>
      <c r="J58" s="47"/>
      <c r="K58" s="47">
        <f t="shared" si="14"/>
        <v>-0.26228441456623841</v>
      </c>
      <c r="L58" s="47"/>
      <c r="M58" s="47"/>
      <c r="N58" s="47"/>
      <c r="O58" s="47">
        <f t="shared" ca="1" si="9"/>
        <v>-0.25902638780633613</v>
      </c>
      <c r="P58" s="47"/>
      <c r="Q58" s="77">
        <f t="shared" si="10"/>
        <v>39782.315900000001</v>
      </c>
      <c r="R58" s="47"/>
      <c r="S58" s="47">
        <f t="shared" ca="1" si="13"/>
        <v>1.0614738368239331E-5</v>
      </c>
    </row>
    <row r="59" spans="1:19" x14ac:dyDescent="0.2">
      <c r="A59" s="53" t="s">
        <v>314</v>
      </c>
      <c r="B59" s="46" t="s">
        <v>42</v>
      </c>
      <c r="C59" s="45">
        <v>54887.465900000003</v>
      </c>
      <c r="D59" s="45">
        <v>8.9999999999999998E-4</v>
      </c>
      <c r="E59" s="47">
        <f t="shared" si="8"/>
        <v>18302.343508715647</v>
      </c>
      <c r="F59" s="47">
        <f t="shared" si="11"/>
        <v>18302.5</v>
      </c>
      <c r="G59" s="47">
        <f t="shared" si="12"/>
        <v>-0.25343148379033664</v>
      </c>
      <c r="H59" s="47"/>
      <c r="I59" s="47"/>
      <c r="J59" s="47"/>
      <c r="K59" s="47">
        <f t="shared" si="14"/>
        <v>-0.25343148379033664</v>
      </c>
      <c r="L59" s="47"/>
      <c r="M59" s="47"/>
      <c r="N59" s="47"/>
      <c r="O59" s="47">
        <f t="shared" ca="1" si="9"/>
        <v>-0.2596112876707703</v>
      </c>
      <c r="P59" s="47"/>
      <c r="Q59" s="77">
        <f t="shared" si="10"/>
        <v>39868.965900000003</v>
      </c>
      <c r="R59" s="47"/>
      <c r="S59" s="47">
        <f t="shared" ca="1" si="13"/>
        <v>3.8189976000622847E-5</v>
      </c>
    </row>
    <row r="60" spans="1:19" x14ac:dyDescent="0.2">
      <c r="A60" s="13" t="s">
        <v>315</v>
      </c>
      <c r="B60" s="51" t="s">
        <v>40</v>
      </c>
      <c r="C60" s="13">
        <v>55168.433850000001</v>
      </c>
      <c r="D60" s="13">
        <v>2.2000000000000001E-4</v>
      </c>
      <c r="E60" s="47">
        <f t="shared" si="8"/>
        <v>18475.838272271707</v>
      </c>
      <c r="F60" s="47">
        <f t="shared" si="11"/>
        <v>18476</v>
      </c>
      <c r="G60" s="47">
        <f t="shared" si="12"/>
        <v>-0.26191169892263133</v>
      </c>
      <c r="H60" s="47"/>
      <c r="J60" s="47"/>
      <c r="K60" s="47">
        <f t="shared" si="14"/>
        <v>-0.26191169892263133</v>
      </c>
      <c r="L60" s="47"/>
      <c r="M60" s="47"/>
      <c r="N60" s="47"/>
      <c r="O60" s="47">
        <f t="shared" ca="1" si="9"/>
        <v>-0.26150811246477634</v>
      </c>
      <c r="P60" s="47"/>
      <c r="Q60" s="77">
        <f t="shared" si="10"/>
        <v>40149.933850000001</v>
      </c>
      <c r="R60" s="47"/>
      <c r="S60" s="47">
        <f t="shared" ca="1" si="13"/>
        <v>1.6288202896393558E-7</v>
      </c>
    </row>
    <row r="61" spans="1:19" s="47" customFormat="1" x14ac:dyDescent="0.2">
      <c r="A61" s="53" t="s">
        <v>316</v>
      </c>
      <c r="B61" s="46" t="s">
        <v>40</v>
      </c>
      <c r="C61" s="45">
        <v>55181.389380000001</v>
      </c>
      <c r="D61" s="45">
        <v>1.4E-3</v>
      </c>
      <c r="E61" s="47">
        <f t="shared" si="8"/>
        <v>18483.838176225498</v>
      </c>
      <c r="F61" s="47">
        <f t="shared" si="11"/>
        <v>18484</v>
      </c>
      <c r="G61" s="47">
        <f t="shared" si="12"/>
        <v>-0.26206724197982112</v>
      </c>
      <c r="K61" s="47">
        <f t="shared" si="14"/>
        <v>-0.26206724197982112</v>
      </c>
      <c r="O61" s="47">
        <f t="shared" ca="1" si="9"/>
        <v>-0.26159557412674778</v>
      </c>
      <c r="Q61" s="77">
        <f t="shared" si="10"/>
        <v>40162.889380000001</v>
      </c>
      <c r="S61" s="47">
        <f t="shared" ca="1" si="13"/>
        <v>2.224705636228168E-7</v>
      </c>
    </row>
    <row r="62" spans="1:19" s="47" customFormat="1" x14ac:dyDescent="0.2">
      <c r="A62" s="53" t="s">
        <v>317</v>
      </c>
      <c r="B62" s="46" t="s">
        <v>40</v>
      </c>
      <c r="C62" s="45">
        <v>55210.54</v>
      </c>
      <c r="D62" s="45">
        <v>4.0000000000000002E-4</v>
      </c>
      <c r="E62" s="47">
        <f t="shared" si="8"/>
        <v>18501.838378470675</v>
      </c>
      <c r="F62" s="47">
        <f t="shared" si="11"/>
        <v>18502</v>
      </c>
      <c r="G62" s="47">
        <f t="shared" si="12"/>
        <v>-0.26173971386742778</v>
      </c>
      <c r="I62" s="1"/>
      <c r="J62" s="1"/>
      <c r="K62" s="47">
        <f t="shared" si="14"/>
        <v>-0.26173971386742778</v>
      </c>
      <c r="N62" s="1"/>
      <c r="O62" s="47">
        <f t="shared" ca="1" si="9"/>
        <v>-0.26179236286618357</v>
      </c>
      <c r="Q62" s="77">
        <f t="shared" si="10"/>
        <v>40192.04</v>
      </c>
      <c r="R62" s="1"/>
      <c r="S62" s="47">
        <f t="shared" ca="1" si="13"/>
        <v>2.7719170699870472E-9</v>
      </c>
    </row>
    <row r="63" spans="1:19" s="47" customFormat="1" x14ac:dyDescent="0.2">
      <c r="A63" s="53" t="s">
        <v>318</v>
      </c>
      <c r="B63" s="46" t="s">
        <v>42</v>
      </c>
      <c r="C63" s="45">
        <v>55523.8966</v>
      </c>
      <c r="D63" s="45">
        <v>1.2999999999999999E-3</v>
      </c>
      <c r="E63" s="47">
        <f t="shared" si="8"/>
        <v>18695.332793850546</v>
      </c>
      <c r="F63" s="47">
        <f t="shared" si="11"/>
        <v>18695.5</v>
      </c>
      <c r="G63" s="47">
        <f t="shared" si="12"/>
        <v>-0.27078378665464697</v>
      </c>
      <c r="K63" s="47">
        <f t="shared" si="14"/>
        <v>-0.27078378665464697</v>
      </c>
      <c r="O63" s="47">
        <f t="shared" ca="1" si="9"/>
        <v>-0.26390784181511828</v>
      </c>
      <c r="Q63" s="77">
        <f t="shared" si="10"/>
        <v>40505.3966</v>
      </c>
      <c r="S63" s="47">
        <f t="shared" ca="1" si="13"/>
        <v>4.7278617436241244E-5</v>
      </c>
    </row>
    <row r="64" spans="1:19" s="47" customFormat="1" x14ac:dyDescent="0.2">
      <c r="A64" s="13" t="s">
        <v>318</v>
      </c>
      <c r="B64" s="51" t="s">
        <v>42</v>
      </c>
      <c r="C64" s="13">
        <v>55523.8966</v>
      </c>
      <c r="D64" s="13">
        <v>1.2999999999999999E-3</v>
      </c>
      <c r="E64" s="47">
        <f t="shared" si="8"/>
        <v>18695.332793850546</v>
      </c>
      <c r="F64" s="47">
        <f t="shared" si="11"/>
        <v>18695.5</v>
      </c>
      <c r="G64" s="47">
        <f t="shared" si="12"/>
        <v>-0.27078378665464697</v>
      </c>
      <c r="I64" s="1"/>
      <c r="K64" s="47">
        <f t="shared" si="14"/>
        <v>-0.27078378665464697</v>
      </c>
      <c r="O64" s="47">
        <f t="shared" ca="1" si="9"/>
        <v>-0.26390784181511828</v>
      </c>
      <c r="Q64" s="77">
        <f t="shared" si="10"/>
        <v>40505.3966</v>
      </c>
      <c r="S64" s="47">
        <f t="shared" ca="1" si="13"/>
        <v>4.7278617436241244E-5</v>
      </c>
    </row>
    <row r="65" spans="1:19" x14ac:dyDescent="0.2">
      <c r="A65" s="45" t="s">
        <v>319</v>
      </c>
      <c r="B65" s="46" t="s">
        <v>42</v>
      </c>
      <c r="C65" s="45">
        <v>55631.597199999997</v>
      </c>
      <c r="D65" s="45">
        <v>4.0000000000000002E-4</v>
      </c>
      <c r="E65" s="47">
        <f t="shared" si="8"/>
        <v>18761.836785255418</v>
      </c>
      <c r="F65" s="47">
        <f t="shared" si="11"/>
        <v>18762</v>
      </c>
      <c r="G65" s="47">
        <f t="shared" si="12"/>
        <v>-0.2643198633522843</v>
      </c>
      <c r="H65" s="47"/>
      <c r="K65" s="47">
        <f t="shared" si="14"/>
        <v>-0.2643198633522843</v>
      </c>
      <c r="L65" s="47"/>
      <c r="M65" s="47"/>
      <c r="O65" s="47">
        <f t="shared" ca="1" si="9"/>
        <v>-0.264634866880256</v>
      </c>
      <c r="P65" s="47"/>
      <c r="Q65" s="77">
        <f t="shared" si="10"/>
        <v>40613.097199999997</v>
      </c>
      <c r="S65" s="47">
        <f t="shared" ca="1" si="13"/>
        <v>9.9227222634619018E-8</v>
      </c>
    </row>
    <row r="66" spans="1:19" x14ac:dyDescent="0.2">
      <c r="A66" s="53" t="s">
        <v>320</v>
      </c>
      <c r="B66" s="46" t="s">
        <v>40</v>
      </c>
      <c r="C66" s="45">
        <v>55911.7618</v>
      </c>
      <c r="D66" s="45">
        <v>2.9999999999999997E-4</v>
      </c>
      <c r="E66" s="47">
        <f t="shared" si="8"/>
        <v>18934.835488608522</v>
      </c>
      <c r="F66" s="47">
        <f t="shared" si="11"/>
        <v>18935</v>
      </c>
      <c r="G66" s="47">
        <f t="shared" si="12"/>
        <v>-0.26641973203368252</v>
      </c>
      <c r="H66" s="47"/>
      <c r="I66" s="47"/>
      <c r="J66" s="47"/>
      <c r="K66" s="47">
        <f t="shared" si="14"/>
        <v>-0.26641973203368252</v>
      </c>
      <c r="L66" s="47"/>
      <c r="M66" s="47"/>
      <c r="N66" s="47"/>
      <c r="O66" s="47">
        <f t="shared" ca="1" si="9"/>
        <v>-0.26652622532038883</v>
      </c>
      <c r="P66" s="47"/>
      <c r="Q66" s="77">
        <f t="shared" si="10"/>
        <v>40893.2618</v>
      </c>
      <c r="R66" s="47"/>
      <c r="S66" s="47">
        <f t="shared" ca="1" si="13"/>
        <v>1.1340820113512479E-8</v>
      </c>
    </row>
    <row r="67" spans="1:19" s="47" customFormat="1" x14ac:dyDescent="0.2">
      <c r="A67" s="53" t="s">
        <v>321</v>
      </c>
      <c r="B67" s="46" t="s">
        <v>40</v>
      </c>
      <c r="C67" s="45">
        <v>55911.7618</v>
      </c>
      <c r="D67" s="45">
        <v>2.9999999999999997E-4</v>
      </c>
      <c r="E67" s="47">
        <f t="shared" si="8"/>
        <v>18934.835488608522</v>
      </c>
      <c r="F67" s="47">
        <f t="shared" si="11"/>
        <v>18935</v>
      </c>
      <c r="G67" s="47">
        <f t="shared" si="12"/>
        <v>-0.26641973203368252</v>
      </c>
      <c r="J67" s="1"/>
      <c r="K67" s="47">
        <f t="shared" si="14"/>
        <v>-0.26641973203368252</v>
      </c>
      <c r="O67" s="47">
        <f t="shared" ca="1" si="9"/>
        <v>-0.26652622532038883</v>
      </c>
      <c r="Q67" s="77">
        <f t="shared" si="10"/>
        <v>40893.2618</v>
      </c>
      <c r="R67" s="1"/>
      <c r="S67" s="47">
        <f t="shared" ca="1" si="13"/>
        <v>1.1340820113512479E-8</v>
      </c>
    </row>
    <row r="68" spans="1:19" x14ac:dyDescent="0.2">
      <c r="A68" s="45" t="s">
        <v>322</v>
      </c>
      <c r="B68" s="46" t="s">
        <v>40</v>
      </c>
      <c r="C68" s="45">
        <v>55958.723899999997</v>
      </c>
      <c r="D68" s="45">
        <v>1.1000000000000001E-3</v>
      </c>
      <c r="E68" s="47">
        <f t="shared" si="8"/>
        <v>18963.834093024416</v>
      </c>
      <c r="F68" s="47">
        <f t="shared" si="11"/>
        <v>18964</v>
      </c>
      <c r="G68" s="47">
        <f t="shared" si="12"/>
        <v>-0.26867982563271653</v>
      </c>
      <c r="H68" s="47"/>
      <c r="J68" s="47"/>
      <c r="K68" s="47">
        <f t="shared" si="14"/>
        <v>-0.26867982563271653</v>
      </c>
      <c r="L68" s="47"/>
      <c r="M68" s="47"/>
      <c r="N68" s="47"/>
      <c r="O68" s="47">
        <f t="shared" ca="1" si="9"/>
        <v>-0.26684327384503537</v>
      </c>
      <c r="P68" s="47"/>
      <c r="Q68" s="77">
        <f t="shared" si="10"/>
        <v>40940.223899999997</v>
      </c>
      <c r="R68" s="47"/>
      <c r="S68" s="47">
        <f t="shared" ca="1" si="13"/>
        <v>3.3729224688348722E-6</v>
      </c>
    </row>
    <row r="69" spans="1:19" x14ac:dyDescent="0.2">
      <c r="A69" s="48" t="s">
        <v>284</v>
      </c>
      <c r="B69" s="49" t="s">
        <v>40</v>
      </c>
      <c r="C69" s="74">
        <v>56221.8825</v>
      </c>
      <c r="D69" s="47"/>
      <c r="E69" s="47">
        <f t="shared" si="8"/>
        <v>19126.331769662425</v>
      </c>
      <c r="F69" s="47">
        <f t="shared" si="11"/>
        <v>19126.5</v>
      </c>
      <c r="G69" s="47">
        <f t="shared" si="12"/>
        <v>-0.27244241905282252</v>
      </c>
      <c r="H69" s="47"/>
      <c r="J69" s="47"/>
      <c r="K69" s="47">
        <f t="shared" si="14"/>
        <v>-0.27244241905282252</v>
      </c>
      <c r="L69" s="47"/>
      <c r="M69" s="47"/>
      <c r="N69" s="47"/>
      <c r="O69" s="47">
        <f t="shared" ca="1" si="9"/>
        <v>-0.26861983885383062</v>
      </c>
      <c r="P69" s="47"/>
      <c r="Q69" s="77">
        <f t="shared" si="10"/>
        <v>41203.3825</v>
      </c>
      <c r="S69" s="47">
        <f t="shared" ca="1" si="13"/>
        <v>1.4612119377724941E-5</v>
      </c>
    </row>
    <row r="70" spans="1:19" x14ac:dyDescent="0.2">
      <c r="A70" s="53" t="s">
        <v>323</v>
      </c>
      <c r="B70" s="46" t="s">
        <v>42</v>
      </c>
      <c r="C70" s="45">
        <v>56221.882599999997</v>
      </c>
      <c r="D70" s="45">
        <v>8.9999999999999998E-4</v>
      </c>
      <c r="E70" s="47">
        <f t="shared" si="8"/>
        <v>19126.331831411375</v>
      </c>
      <c r="F70" s="47">
        <f t="shared" si="11"/>
        <v>19126.5</v>
      </c>
      <c r="G70" s="47">
        <f t="shared" si="12"/>
        <v>-0.27234241905534873</v>
      </c>
      <c r="H70" s="47"/>
      <c r="I70" s="47"/>
      <c r="K70" s="47">
        <f t="shared" si="14"/>
        <v>-0.27234241905534873</v>
      </c>
      <c r="L70" s="47"/>
      <c r="M70" s="47"/>
      <c r="N70" s="47"/>
      <c r="O70" s="47">
        <f t="shared" ca="1" si="9"/>
        <v>-0.26861983885383062</v>
      </c>
      <c r="P70" s="47"/>
      <c r="Q70" s="77">
        <f t="shared" si="10"/>
        <v>41203.382599999997</v>
      </c>
      <c r="S70" s="47">
        <f t="shared" ca="1" si="13"/>
        <v>1.3857603356734618E-5</v>
      </c>
    </row>
    <row r="71" spans="1:19" x14ac:dyDescent="0.2">
      <c r="A71" s="53" t="s">
        <v>324</v>
      </c>
      <c r="B71" s="46" t="s">
        <v>42</v>
      </c>
      <c r="C71" s="45">
        <v>56255.894500000002</v>
      </c>
      <c r="D71" s="45">
        <v>9.0000000000000008E-4</v>
      </c>
      <c r="E71" s="47">
        <f t="shared" si="8"/>
        <v>19147.333823092609</v>
      </c>
      <c r="F71" s="47">
        <f t="shared" si="11"/>
        <v>19147.5</v>
      </c>
      <c r="G71" s="47">
        <f t="shared" si="12"/>
        <v>-0.26911696958268294</v>
      </c>
      <c r="H71" s="47"/>
      <c r="J71" s="47"/>
      <c r="K71" s="47">
        <f t="shared" si="14"/>
        <v>-0.26911696958268294</v>
      </c>
      <c r="L71" s="47"/>
      <c r="M71" s="47"/>
      <c r="N71" s="47"/>
      <c r="O71" s="47">
        <f t="shared" ca="1" si="9"/>
        <v>-0.26884942571650572</v>
      </c>
      <c r="P71" s="47"/>
      <c r="Q71" s="77">
        <f t="shared" si="10"/>
        <v>41237.394500000002</v>
      </c>
      <c r="R71" s="47"/>
      <c r="S71" s="47">
        <f t="shared" ca="1" si="13"/>
        <v>7.1579720329055412E-8</v>
      </c>
    </row>
    <row r="72" spans="1:19" x14ac:dyDescent="0.2">
      <c r="A72" s="48" t="s">
        <v>290</v>
      </c>
      <c r="B72" s="49" t="s">
        <v>42</v>
      </c>
      <c r="C72" s="48">
        <v>56272.899899999997</v>
      </c>
      <c r="D72" s="47"/>
      <c r="E72" s="47">
        <f t="shared" si="8"/>
        <v>19157.834479313988</v>
      </c>
      <c r="F72" s="47">
        <f t="shared" si="11"/>
        <v>19158</v>
      </c>
      <c r="G72" s="47">
        <f t="shared" si="12"/>
        <v>-0.26805424485792173</v>
      </c>
      <c r="H72" s="47"/>
      <c r="J72" s="47"/>
      <c r="K72" s="47">
        <f t="shared" si="14"/>
        <v>-0.26805424485792173</v>
      </c>
      <c r="L72" s="47"/>
      <c r="M72" s="47"/>
      <c r="N72" s="47"/>
      <c r="O72" s="47">
        <f t="shared" ca="1" si="9"/>
        <v>-0.26896421914784324</v>
      </c>
      <c r="P72" s="47"/>
      <c r="Q72" s="77">
        <f t="shared" si="10"/>
        <v>41254.399899999997</v>
      </c>
      <c r="S72" s="47">
        <f t="shared" ca="1" si="13"/>
        <v>8.2805320831815875E-7</v>
      </c>
    </row>
    <row r="73" spans="1:19" x14ac:dyDescent="0.2">
      <c r="A73" s="54" t="s">
        <v>325</v>
      </c>
      <c r="B73" s="55" t="s">
        <v>40</v>
      </c>
      <c r="C73" s="56">
        <v>56272.899899999997</v>
      </c>
      <c r="D73" s="56">
        <v>5.9999999999999995E-4</v>
      </c>
      <c r="E73" s="47">
        <f t="shared" si="8"/>
        <v>19157.834479313988</v>
      </c>
      <c r="F73" s="47">
        <f t="shared" si="11"/>
        <v>19158</v>
      </c>
      <c r="G73" s="47">
        <f t="shared" si="12"/>
        <v>-0.26805424485792173</v>
      </c>
      <c r="H73" s="47"/>
      <c r="I73" s="47"/>
      <c r="K73" s="47">
        <f t="shared" si="14"/>
        <v>-0.26805424485792173</v>
      </c>
      <c r="L73" s="47"/>
      <c r="M73" s="47"/>
      <c r="N73" s="47"/>
      <c r="O73" s="47">
        <f t="shared" ca="1" si="9"/>
        <v>-0.26896421914784324</v>
      </c>
      <c r="P73" s="47"/>
      <c r="Q73" s="77">
        <f t="shared" si="10"/>
        <v>41254.399899999997</v>
      </c>
      <c r="R73" s="47"/>
      <c r="S73" s="47">
        <f t="shared" ca="1" si="13"/>
        <v>8.2805320831815875E-7</v>
      </c>
    </row>
    <row r="74" spans="1:19" x14ac:dyDescent="0.2">
      <c r="A74" s="53" t="s">
        <v>326</v>
      </c>
      <c r="B74" s="46" t="s">
        <v>40</v>
      </c>
      <c r="C74" s="45">
        <v>56604.887300000002</v>
      </c>
      <c r="D74" s="45">
        <v>4.0000000000000002E-4</v>
      </c>
      <c r="E74" s="47">
        <f t="shared" si="8"/>
        <v>19362.833218375123</v>
      </c>
      <c r="F74" s="47">
        <f t="shared" si="11"/>
        <v>19363</v>
      </c>
      <c r="G74" s="47">
        <f t="shared" si="12"/>
        <v>-0.27009628578525735</v>
      </c>
      <c r="H74" s="47"/>
      <c r="I74" s="47"/>
      <c r="K74" s="47">
        <f t="shared" si="14"/>
        <v>-0.27009628578525735</v>
      </c>
      <c r="L74" s="47"/>
      <c r="M74" s="47"/>
      <c r="N74" s="47"/>
      <c r="O74" s="47">
        <f t="shared" ca="1" si="9"/>
        <v>-0.27120542423586191</v>
      </c>
      <c r="P74" s="47"/>
      <c r="Q74" s="77">
        <f t="shared" si="10"/>
        <v>41586.387300000002</v>
      </c>
      <c r="S74" s="47">
        <f t="shared" ca="1" si="13"/>
        <v>1.230188102609491E-6</v>
      </c>
    </row>
    <row r="75" spans="1:19" x14ac:dyDescent="0.2">
      <c r="A75" s="54" t="s">
        <v>327</v>
      </c>
      <c r="B75" s="55" t="s">
        <v>40</v>
      </c>
      <c r="C75" s="56">
        <v>57375.7451</v>
      </c>
      <c r="D75" s="56">
        <v>2.9999999999999997E-4</v>
      </c>
      <c r="E75" s="47">
        <f t="shared" si="8"/>
        <v>19838.829828473692</v>
      </c>
      <c r="F75" s="47">
        <f t="shared" si="11"/>
        <v>19839</v>
      </c>
      <c r="G75" s="47">
        <f t="shared" si="12"/>
        <v>-0.27558609790867195</v>
      </c>
      <c r="H75" s="47"/>
      <c r="I75" s="47"/>
      <c r="K75" s="47">
        <f t="shared" si="14"/>
        <v>-0.27558609790867195</v>
      </c>
      <c r="L75" s="47"/>
      <c r="M75" s="47"/>
      <c r="N75" s="47"/>
      <c r="O75" s="47">
        <f t="shared" ca="1" si="9"/>
        <v>-0.2764093931231637</v>
      </c>
      <c r="P75" s="47"/>
      <c r="Q75" s="77">
        <f t="shared" si="10"/>
        <v>42357.2451</v>
      </c>
      <c r="S75" s="47">
        <f t="shared" ca="1" si="13"/>
        <v>6.7781501020503208E-7</v>
      </c>
    </row>
    <row r="76" spans="1:19" x14ac:dyDescent="0.2">
      <c r="A76" s="57" t="s">
        <v>328</v>
      </c>
      <c r="B76" s="58" t="s">
        <v>40</v>
      </c>
      <c r="C76" s="59">
        <v>57788.703099999999</v>
      </c>
      <c r="D76" s="59">
        <v>2.9999999999999997E-4</v>
      </c>
      <c r="E76" s="47">
        <f t="shared" si="8"/>
        <v>20093.827064167595</v>
      </c>
      <c r="F76" s="47">
        <f t="shared" si="11"/>
        <v>20094</v>
      </c>
      <c r="G76" s="47">
        <f t="shared" si="12"/>
        <v>-0.28006278297107201</v>
      </c>
      <c r="H76" s="47"/>
      <c r="I76" s="47"/>
      <c r="K76" s="47">
        <f t="shared" si="14"/>
        <v>-0.28006278297107201</v>
      </c>
      <c r="L76" s="47"/>
      <c r="M76" s="47"/>
      <c r="N76" s="47"/>
      <c r="O76" s="47">
        <f t="shared" ca="1" si="9"/>
        <v>-0.27919723359850401</v>
      </c>
      <c r="P76" s="47"/>
      <c r="Q76" s="77">
        <f t="shared" si="10"/>
        <v>42770.203099999999</v>
      </c>
      <c r="S76" s="47">
        <f t="shared" ca="1" si="13"/>
        <v>7.4917571635285409E-7</v>
      </c>
    </row>
    <row r="77" spans="1:19" s="47" customFormat="1" x14ac:dyDescent="0.2">
      <c r="A77" s="57" t="s">
        <v>329</v>
      </c>
      <c r="B77" s="60" t="s">
        <v>40</v>
      </c>
      <c r="C77" s="57">
        <v>58081.825299999997</v>
      </c>
      <c r="D77" s="57">
        <v>2.9999999999999997E-4</v>
      </c>
      <c r="E77" s="47">
        <f t="shared" si="8"/>
        <v>20274.826949677783</v>
      </c>
      <c r="F77" s="47">
        <f t="shared" si="11"/>
        <v>20275</v>
      </c>
      <c r="G77" s="47">
        <f t="shared" si="12"/>
        <v>-0.28024819472193485</v>
      </c>
      <c r="J77" s="1"/>
      <c r="K77" s="47">
        <f t="shared" si="14"/>
        <v>-0.28024819472193485</v>
      </c>
      <c r="O77" s="47">
        <f t="shared" ca="1" si="9"/>
        <v>-0.28117605370060827</v>
      </c>
      <c r="Q77" s="77">
        <f t="shared" si="10"/>
        <v>43063.325299999997</v>
      </c>
      <c r="R77" s="1"/>
      <c r="S77" s="47">
        <f t="shared" ca="1" si="13"/>
        <v>8.6092228430488891E-7</v>
      </c>
    </row>
    <row r="78" spans="1:19" x14ac:dyDescent="0.2">
      <c r="A78" s="61" t="s">
        <v>330</v>
      </c>
      <c r="B78" s="62" t="s">
        <v>40</v>
      </c>
      <c r="C78" s="61">
        <v>58509.361900000004</v>
      </c>
      <c r="D78" s="61">
        <v>1E-4</v>
      </c>
      <c r="E78" s="47">
        <f t="shared" si="8"/>
        <v>20538.826318034789</v>
      </c>
      <c r="F78" s="47">
        <f t="shared" si="11"/>
        <v>20539</v>
      </c>
      <c r="G78" s="47">
        <f t="shared" si="12"/>
        <v>-0.28127111572393915</v>
      </c>
      <c r="H78" s="47"/>
      <c r="I78" s="47"/>
      <c r="K78" s="47">
        <f t="shared" si="14"/>
        <v>-0.28127111572393915</v>
      </c>
      <c r="L78" s="47"/>
      <c r="M78" s="47"/>
      <c r="N78" s="47"/>
      <c r="O78" s="47">
        <f t="shared" ca="1" si="9"/>
        <v>-0.28406228854566645</v>
      </c>
      <c r="P78" s="47"/>
      <c r="Q78" s="77">
        <f t="shared" si="10"/>
        <v>43490.861900000004</v>
      </c>
      <c r="S78" s="47">
        <f t="shared" ca="1" si="13"/>
        <v>7.7906457207491704E-6</v>
      </c>
    </row>
    <row r="79" spans="1:19" x14ac:dyDescent="0.2">
      <c r="A79" s="63" t="s">
        <v>331</v>
      </c>
      <c r="B79" s="64" t="s">
        <v>40</v>
      </c>
      <c r="C79" s="65">
        <v>58813.815999999999</v>
      </c>
      <c r="D79" s="65">
        <v>2.9999999999999997E-4</v>
      </c>
      <c r="E79" s="47">
        <f t="shared" si="8"/>
        <v>20726.823532995331</v>
      </c>
      <c r="F79" s="47">
        <f t="shared" si="11"/>
        <v>20727</v>
      </c>
      <c r="G79" s="47">
        <f t="shared" si="12"/>
        <v>-0.28578137765725842</v>
      </c>
      <c r="H79" s="47"/>
      <c r="I79" s="47"/>
      <c r="K79" s="47">
        <f t="shared" si="14"/>
        <v>-0.28578137765725842</v>
      </c>
      <c r="L79" s="47"/>
      <c r="M79" s="47"/>
      <c r="N79" s="47"/>
      <c r="O79" s="47">
        <f t="shared" ca="1" si="9"/>
        <v>-0.28611763760199571</v>
      </c>
      <c r="P79" s="47"/>
      <c r="Q79" s="77">
        <f t="shared" si="10"/>
        <v>43795.315999999999</v>
      </c>
      <c r="S79" s="47">
        <f t="shared" ca="1" si="13"/>
        <v>1.1307075043472789E-7</v>
      </c>
    </row>
    <row r="80" spans="1:19" ht="12" customHeight="1" x14ac:dyDescent="0.2">
      <c r="A80" s="63" t="s">
        <v>332</v>
      </c>
      <c r="B80" s="64" t="s">
        <v>40</v>
      </c>
      <c r="C80" s="65">
        <v>58891.551399999997</v>
      </c>
      <c r="D80" s="65">
        <v>2.9999999999999997E-4</v>
      </c>
      <c r="E80" s="47">
        <f t="shared" si="8"/>
        <v>20774.8243275448</v>
      </c>
      <c r="F80" s="47">
        <f t="shared" si="11"/>
        <v>20775</v>
      </c>
      <c r="G80" s="47">
        <f t="shared" si="12"/>
        <v>-0.28449463602009928</v>
      </c>
      <c r="H80" s="47"/>
      <c r="I80" s="47"/>
      <c r="K80" s="47">
        <f t="shared" si="14"/>
        <v>-0.28449463602009928</v>
      </c>
      <c r="L80" s="47"/>
      <c r="M80" s="47"/>
      <c r="N80" s="47"/>
      <c r="O80" s="47">
        <f t="shared" ca="1" si="9"/>
        <v>-0.28664240757382453</v>
      </c>
      <c r="P80" s="47"/>
      <c r="Q80" s="77">
        <f t="shared" si="10"/>
        <v>43873.051399999997</v>
      </c>
      <c r="S80" s="47">
        <f t="shared" ca="1" si="13"/>
        <v>4.6129226469913865E-6</v>
      </c>
    </row>
    <row r="81" spans="1:19" ht="12" customHeight="1" x14ac:dyDescent="0.2">
      <c r="A81" s="66" t="s">
        <v>333</v>
      </c>
      <c r="B81" s="67" t="s">
        <v>40</v>
      </c>
      <c r="C81" s="68">
        <v>59153.900600000001</v>
      </c>
      <c r="D81" s="68">
        <v>5.0000000000000001E-4</v>
      </c>
      <c r="E81" s="47">
        <f t="shared" si="8"/>
        <v>20936.822208168272</v>
      </c>
      <c r="F81" s="47">
        <f t="shared" si="11"/>
        <v>20937</v>
      </c>
      <c r="G81" s="47">
        <f t="shared" si="12"/>
        <v>-0.28792688300018199</v>
      </c>
      <c r="H81" s="47"/>
      <c r="I81" s="47"/>
      <c r="K81" s="47">
        <f t="shared" si="14"/>
        <v>-0.28792688300018199</v>
      </c>
      <c r="L81" s="47"/>
      <c r="M81" s="47"/>
      <c r="N81" s="47"/>
      <c r="O81" s="47">
        <f t="shared" ca="1" si="9"/>
        <v>-0.28841350622874656</v>
      </c>
      <c r="P81" s="47"/>
      <c r="Q81" s="77">
        <f t="shared" si="10"/>
        <v>44135.400600000001</v>
      </c>
      <c r="S81" s="47">
        <f t="shared" ca="1" si="13"/>
        <v>2.3680216657861112E-7</v>
      </c>
    </row>
    <row r="82" spans="1:19" ht="12" customHeight="1" x14ac:dyDescent="0.2">
      <c r="A82" s="69" t="s">
        <v>334</v>
      </c>
      <c r="B82" s="70" t="s">
        <v>40</v>
      </c>
      <c r="C82" s="71">
        <v>59519.896500000003</v>
      </c>
      <c r="D82" s="72">
        <v>4.0000000000000002E-4</v>
      </c>
      <c r="E82" s="47">
        <f t="shared" si="8"/>
        <v>21162.820839446282</v>
      </c>
      <c r="F82" s="47">
        <f t="shared" si="11"/>
        <v>21163</v>
      </c>
      <c r="G82" s="47">
        <f t="shared" si="12"/>
        <v>-0.29014347446354805</v>
      </c>
      <c r="H82" s="47"/>
      <c r="I82" s="47"/>
      <c r="K82" s="47">
        <f t="shared" si="14"/>
        <v>-0.29014347446354805</v>
      </c>
      <c r="L82" s="47"/>
      <c r="M82" s="47"/>
      <c r="N82" s="47"/>
      <c r="O82" s="47">
        <f t="shared" ca="1" si="9"/>
        <v>-0.29088429817944028</v>
      </c>
      <c r="P82" s="47"/>
      <c r="Q82" s="77">
        <f t="shared" si="10"/>
        <v>44501.396500000003</v>
      </c>
      <c r="S82" s="47">
        <f t="shared" ca="1" si="13"/>
        <v>5.4881977802838037E-7</v>
      </c>
    </row>
    <row r="83" spans="1:19" ht="12" customHeight="1" x14ac:dyDescent="0.2">
      <c r="A83" s="72" t="s">
        <v>335</v>
      </c>
      <c r="B83" s="70" t="s">
        <v>40</v>
      </c>
      <c r="C83" s="71">
        <v>59628.399599999997</v>
      </c>
      <c r="D83" s="72">
        <v>1E-4</v>
      </c>
      <c r="E83" s="47">
        <f t="shared" si="8"/>
        <v>21229.820366188025</v>
      </c>
      <c r="F83" s="47">
        <f t="shared" si="11"/>
        <v>21230</v>
      </c>
      <c r="G83" s="47">
        <f t="shared" si="12"/>
        <v>-0.29090989760152297</v>
      </c>
      <c r="H83" s="47"/>
      <c r="I83" s="47"/>
      <c r="K83" s="47">
        <f t="shared" si="14"/>
        <v>-0.29090989760152297</v>
      </c>
      <c r="L83" s="47"/>
      <c r="M83" s="47"/>
      <c r="N83" s="47"/>
      <c r="O83" s="47">
        <f t="shared" ca="1" si="9"/>
        <v>-0.29161678959845128</v>
      </c>
      <c r="P83" s="47"/>
      <c r="Q83" s="77">
        <f t="shared" si="10"/>
        <v>44609.899599999997</v>
      </c>
      <c r="S83" s="47">
        <f t="shared" ca="1" si="13"/>
        <v>4.9969629532128665E-7</v>
      </c>
    </row>
    <row r="84" spans="1:19" ht="12" customHeight="1" x14ac:dyDescent="0.2">
      <c r="A84" s="75" t="s">
        <v>336</v>
      </c>
      <c r="B84" s="76" t="s">
        <v>40</v>
      </c>
      <c r="C84" s="71">
        <v>59885.892899999999</v>
      </c>
      <c r="D84" s="72">
        <v>4.0000000000000002E-4</v>
      </c>
      <c r="E84" s="47">
        <f t="shared" ref="E84:E85" si="15">+(C84-C$7)/C$8</f>
        <v>21388.819779469042</v>
      </c>
      <c r="F84" s="47">
        <f t="shared" ref="F84:F85" si="16">ROUND(2*E84,0)/2</f>
        <v>21389</v>
      </c>
      <c r="G84" s="47">
        <f t="shared" ref="G84:G85" si="17">+C84-(C$7+F84*C$8)</f>
        <v>-0.29186006593226921</v>
      </c>
      <c r="H84" s="47"/>
      <c r="I84" s="47"/>
      <c r="K84" s="47">
        <f t="shared" ref="K84:K85" si="18">+G84</f>
        <v>-0.29186006593226921</v>
      </c>
      <c r="L84" s="47"/>
      <c r="M84" s="47"/>
      <c r="N84" s="47"/>
      <c r="O84" s="47">
        <f t="shared" ref="O84:O85" ca="1" si="19">+C$11+C$12*$F84</f>
        <v>-0.29335509013013406</v>
      </c>
      <c r="P84" s="47"/>
      <c r="Q84" s="77">
        <f t="shared" ref="Q84:Q85" si="20">+C84-15018.5</f>
        <v>44867.392899999999</v>
      </c>
      <c r="S84" s="47">
        <f t="shared" ref="S84:S85" ca="1" si="21">+(O84-G84)^2</f>
        <v>2.2350973522014296E-6</v>
      </c>
    </row>
    <row r="85" spans="1:19" ht="12" customHeight="1" x14ac:dyDescent="0.2">
      <c r="A85" s="75" t="s">
        <v>336</v>
      </c>
      <c r="B85" s="76" t="s">
        <v>40</v>
      </c>
      <c r="C85" s="71">
        <v>59906.944199999998</v>
      </c>
      <c r="D85" s="72">
        <v>4.0000000000000002E-4</v>
      </c>
      <c r="E85" s="47">
        <f t="shared" si="15"/>
        <v>21401.818736524634</v>
      </c>
      <c r="F85" s="47">
        <f t="shared" si="16"/>
        <v>21402</v>
      </c>
      <c r="G85" s="47">
        <f t="shared" si="17"/>
        <v>-0.29354907340893988</v>
      </c>
      <c r="H85" s="47"/>
      <c r="I85" s="47"/>
      <c r="K85" s="47">
        <f t="shared" si="18"/>
        <v>-0.29354907340893988</v>
      </c>
      <c r="L85" s="47"/>
      <c r="M85" s="47"/>
      <c r="N85" s="47"/>
      <c r="O85" s="47">
        <f t="shared" ca="1" si="19"/>
        <v>-0.29349721533083761</v>
      </c>
      <c r="P85" s="47"/>
      <c r="Q85" s="77">
        <f t="shared" si="20"/>
        <v>44888.444199999998</v>
      </c>
      <c r="S85" s="47">
        <f t="shared" ca="1" si="21"/>
        <v>2.6892602644603694E-9</v>
      </c>
    </row>
    <row r="86" spans="1:19" ht="12" customHeight="1" x14ac:dyDescent="0.2">
      <c r="Q86" s="78"/>
    </row>
    <row r="87" spans="1:19" x14ac:dyDescent="0.2">
      <c r="Q87" s="78"/>
    </row>
    <row r="88" spans="1:19" x14ac:dyDescent="0.2">
      <c r="Q88" s="78"/>
    </row>
    <row r="89" spans="1:19" x14ac:dyDescent="0.2">
      <c r="Q89" s="78"/>
    </row>
    <row r="90" spans="1:19" x14ac:dyDescent="0.2">
      <c r="Q90" s="78"/>
    </row>
    <row r="91" spans="1:19" x14ac:dyDescent="0.2">
      <c r="Q91" s="78"/>
    </row>
    <row r="92" spans="1:19" x14ac:dyDescent="0.2">
      <c r="Q92" s="78"/>
    </row>
    <row r="93" spans="1:19" x14ac:dyDescent="0.2">
      <c r="Q93" s="78"/>
    </row>
    <row r="94" spans="1:19" x14ac:dyDescent="0.2">
      <c r="Q94" s="78"/>
    </row>
    <row r="95" spans="1:19" x14ac:dyDescent="0.2">
      <c r="Q95" s="78"/>
    </row>
    <row r="96" spans="1:19" x14ac:dyDescent="0.2">
      <c r="Q96" s="78"/>
    </row>
    <row r="97" spans="17:17" x14ac:dyDescent="0.2">
      <c r="Q97" s="78"/>
    </row>
    <row r="98" spans="17:17" x14ac:dyDescent="0.2">
      <c r="Q98" s="78"/>
    </row>
    <row r="99" spans="17:17" x14ac:dyDescent="0.2">
      <c r="Q99" s="78"/>
    </row>
    <row r="100" spans="17:17" x14ac:dyDescent="0.2">
      <c r="Q100" s="78"/>
    </row>
    <row r="101" spans="17:17" x14ac:dyDescent="0.2">
      <c r="Q101" s="78"/>
    </row>
    <row r="102" spans="17:17" x14ac:dyDescent="0.2">
      <c r="Q102" s="78"/>
    </row>
    <row r="103" spans="17:17" x14ac:dyDescent="0.2">
      <c r="Q103" s="78"/>
    </row>
    <row r="104" spans="17:17" x14ac:dyDescent="0.2">
      <c r="Q104" s="78"/>
    </row>
    <row r="105" spans="17:17" x14ac:dyDescent="0.2">
      <c r="Q105" s="78"/>
    </row>
    <row r="106" spans="17:17" x14ac:dyDescent="0.2">
      <c r="Q106" s="78"/>
    </row>
    <row r="107" spans="17:17" x14ac:dyDescent="0.2">
      <c r="Q107" s="78"/>
    </row>
    <row r="108" spans="17:17" x14ac:dyDescent="0.2">
      <c r="Q108" s="78"/>
    </row>
    <row r="109" spans="17:17" x14ac:dyDescent="0.2">
      <c r="Q109" s="78"/>
    </row>
    <row r="110" spans="17:17" x14ac:dyDescent="0.2">
      <c r="Q110" s="78"/>
    </row>
    <row r="111" spans="17:17" x14ac:dyDescent="0.2">
      <c r="Q111" s="78"/>
    </row>
    <row r="112" spans="17:17" x14ac:dyDescent="0.2">
      <c r="Q112" s="78"/>
    </row>
    <row r="113" spans="17:17" x14ac:dyDescent="0.2">
      <c r="Q113" s="78"/>
    </row>
    <row r="114" spans="17:17" x14ac:dyDescent="0.2">
      <c r="Q114" s="78"/>
    </row>
    <row r="115" spans="17:17" x14ac:dyDescent="0.2">
      <c r="Q115" s="78"/>
    </row>
    <row r="116" spans="17:17" x14ac:dyDescent="0.2">
      <c r="Q116" s="78"/>
    </row>
    <row r="117" spans="17:17" x14ac:dyDescent="0.2">
      <c r="Q117" s="78"/>
    </row>
    <row r="118" spans="17:17" x14ac:dyDescent="0.2">
      <c r="Q118" s="78"/>
    </row>
    <row r="119" spans="17:17" x14ac:dyDescent="0.2">
      <c r="Q119" s="78"/>
    </row>
    <row r="120" spans="17:17" x14ac:dyDescent="0.2">
      <c r="Q120" s="78"/>
    </row>
    <row r="121" spans="17:17" x14ac:dyDescent="0.2">
      <c r="Q121" s="78"/>
    </row>
    <row r="122" spans="17:17" x14ac:dyDescent="0.2">
      <c r="Q122" s="78"/>
    </row>
    <row r="123" spans="17:17" x14ac:dyDescent="0.2">
      <c r="Q123" s="78"/>
    </row>
    <row r="124" spans="17:17" x14ac:dyDescent="0.2">
      <c r="Q124" s="78"/>
    </row>
    <row r="125" spans="17:17" x14ac:dyDescent="0.2">
      <c r="Q125" s="78"/>
    </row>
    <row r="126" spans="17:17" x14ac:dyDescent="0.2">
      <c r="Q126" s="78"/>
    </row>
    <row r="127" spans="17:17" x14ac:dyDescent="0.2">
      <c r="Q127" s="78"/>
    </row>
    <row r="128" spans="17:17" x14ac:dyDescent="0.2">
      <c r="Q128" s="78"/>
    </row>
    <row r="129" spans="17:17" x14ac:dyDescent="0.2">
      <c r="Q129" s="78"/>
    </row>
    <row r="130" spans="17:17" x14ac:dyDescent="0.2">
      <c r="Q130" s="78"/>
    </row>
    <row r="131" spans="17:17" x14ac:dyDescent="0.2">
      <c r="Q131" s="78"/>
    </row>
    <row r="132" spans="17:17" x14ac:dyDescent="0.2">
      <c r="Q132" s="78"/>
    </row>
    <row r="133" spans="17:17" x14ac:dyDescent="0.2">
      <c r="Q133" s="78"/>
    </row>
    <row r="134" spans="17:17" x14ac:dyDescent="0.2">
      <c r="Q134" s="78"/>
    </row>
    <row r="135" spans="17:17" x14ac:dyDescent="0.2">
      <c r="Q135" s="78"/>
    </row>
    <row r="136" spans="17:17" x14ac:dyDescent="0.2">
      <c r="Q136" s="78"/>
    </row>
    <row r="137" spans="17:17" x14ac:dyDescent="0.2">
      <c r="Q137" s="78"/>
    </row>
    <row r="138" spans="17:17" x14ac:dyDescent="0.2">
      <c r="Q138" s="78"/>
    </row>
    <row r="139" spans="17:17" x14ac:dyDescent="0.2">
      <c r="Q139" s="78"/>
    </row>
    <row r="140" spans="17:17" x14ac:dyDescent="0.2">
      <c r="Q140" s="78"/>
    </row>
    <row r="141" spans="17:17" x14ac:dyDescent="0.2">
      <c r="Q141" s="78"/>
    </row>
    <row r="142" spans="17:17" x14ac:dyDescent="0.2">
      <c r="Q142" s="78"/>
    </row>
    <row r="143" spans="17:17" x14ac:dyDescent="0.2">
      <c r="Q143" s="78"/>
    </row>
    <row r="144" spans="17:17" x14ac:dyDescent="0.2">
      <c r="Q144" s="78"/>
    </row>
    <row r="145" spans="17:17" x14ac:dyDescent="0.2">
      <c r="Q145" s="78"/>
    </row>
    <row r="146" spans="17:17" x14ac:dyDescent="0.2">
      <c r="Q146" s="78"/>
    </row>
    <row r="147" spans="17:17" x14ac:dyDescent="0.2">
      <c r="Q147" s="78"/>
    </row>
    <row r="148" spans="17:17" x14ac:dyDescent="0.2">
      <c r="Q148" s="78"/>
    </row>
    <row r="149" spans="17:17" x14ac:dyDescent="0.2">
      <c r="Q149" s="78"/>
    </row>
    <row r="150" spans="17:17" x14ac:dyDescent="0.2">
      <c r="Q150" s="78"/>
    </row>
    <row r="151" spans="17:17" x14ac:dyDescent="0.2">
      <c r="Q151" s="78"/>
    </row>
    <row r="152" spans="17:17" x14ac:dyDescent="0.2">
      <c r="Q152" s="78"/>
    </row>
    <row r="153" spans="17:17" x14ac:dyDescent="0.2">
      <c r="Q153" s="78"/>
    </row>
    <row r="154" spans="17:17" x14ac:dyDescent="0.2">
      <c r="Q154" s="78"/>
    </row>
    <row r="155" spans="17:17" x14ac:dyDescent="0.2">
      <c r="Q155" s="78"/>
    </row>
    <row r="156" spans="17:17" x14ac:dyDescent="0.2">
      <c r="Q156" s="78"/>
    </row>
    <row r="157" spans="17:17" x14ac:dyDescent="0.2">
      <c r="Q157" s="78"/>
    </row>
    <row r="158" spans="17:17" x14ac:dyDescent="0.2">
      <c r="Q158" s="78"/>
    </row>
    <row r="159" spans="17:17" x14ac:dyDescent="0.2">
      <c r="Q159" s="78"/>
    </row>
    <row r="160" spans="17:17" x14ac:dyDescent="0.2">
      <c r="Q160" s="78"/>
    </row>
    <row r="161" spans="17:17" x14ac:dyDescent="0.2">
      <c r="Q161" s="78"/>
    </row>
    <row r="162" spans="17:17" x14ac:dyDescent="0.2">
      <c r="Q162" s="78"/>
    </row>
    <row r="163" spans="17:17" x14ac:dyDescent="0.2">
      <c r="Q163" s="78"/>
    </row>
    <row r="164" spans="17:17" x14ac:dyDescent="0.2">
      <c r="Q164" s="78"/>
    </row>
  </sheetData>
  <sheetProtection selectLockedCells="1" selectUnlockedCells="1"/>
  <sortState xmlns:xlrd2="http://schemas.microsoft.com/office/spreadsheetml/2017/richdata2" ref="A21:S83">
    <sortCondition ref="C21:C8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Q1" sqref="Q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8" ht="20.25" x14ac:dyDescent="0.3">
      <c r="A1" s="2" t="s">
        <v>0</v>
      </c>
      <c r="C1" s="17" t="s">
        <v>43</v>
      </c>
    </row>
    <row r="2" spans="1:18" x14ac:dyDescent="0.2">
      <c r="A2" s="1" t="s">
        <v>2</v>
      </c>
      <c r="C2" s="3"/>
    </row>
    <row r="4" spans="1:18" x14ac:dyDescent="0.2">
      <c r="A4" s="4" t="s">
        <v>3</v>
      </c>
      <c r="C4" s="5">
        <v>25247.54</v>
      </c>
      <c r="D4" s="6">
        <v>3.7012</v>
      </c>
    </row>
    <row r="5" spans="1:18" x14ac:dyDescent="0.2">
      <c r="D5" s="17"/>
      <c r="E5" s="18"/>
    </row>
    <row r="6" spans="1:18" x14ac:dyDescent="0.2">
      <c r="A6" s="4" t="s">
        <v>4</v>
      </c>
      <c r="D6" s="17"/>
      <c r="E6" s="18"/>
    </row>
    <row r="7" spans="1:18" x14ac:dyDescent="0.2">
      <c r="A7" s="1" t="s">
        <v>5</v>
      </c>
      <c r="C7" s="1">
        <f>+C4</f>
        <v>25247.54</v>
      </c>
      <c r="D7" s="17" t="s">
        <v>44</v>
      </c>
    </row>
    <row r="8" spans="1:18" x14ac:dyDescent="0.2">
      <c r="A8" s="1" t="s">
        <v>6</v>
      </c>
      <c r="C8" s="17">
        <v>1.6193599999999999</v>
      </c>
      <c r="D8" s="17" t="s">
        <v>45</v>
      </c>
    </row>
    <row r="9" spans="1:18" x14ac:dyDescent="0.2">
      <c r="D9" s="17"/>
    </row>
    <row r="10" spans="1:18" x14ac:dyDescent="0.2">
      <c r="C10" s="7" t="s">
        <v>7</v>
      </c>
      <c r="D10" s="7" t="s">
        <v>8</v>
      </c>
    </row>
    <row r="11" spans="1:18" x14ac:dyDescent="0.2">
      <c r="A11" s="1" t="s">
        <v>9</v>
      </c>
      <c r="C11" s="1">
        <f>INTERCEPT(G21:G999,$F21:$F999)</f>
        <v>-1.8618948176833092</v>
      </c>
      <c r="D11" s="8"/>
    </row>
    <row r="12" spans="1:18" x14ac:dyDescent="0.2">
      <c r="A12" s="1" t="s">
        <v>10</v>
      </c>
      <c r="C12" s="1">
        <f>SLOPE(G21:G999,$F21:$F999)</f>
        <v>1.0069288260016002E-4</v>
      </c>
      <c r="D12" s="8"/>
    </row>
    <row r="13" spans="1:18" x14ac:dyDescent="0.2">
      <c r="A13" s="1" t="s">
        <v>11</v>
      </c>
      <c r="C13" s="8" t="s">
        <v>12</v>
      </c>
      <c r="D13" s="8"/>
    </row>
    <row r="14" spans="1:18" x14ac:dyDescent="0.2">
      <c r="A14" s="1" t="s">
        <v>13</v>
      </c>
    </row>
    <row r="15" spans="1:18" x14ac:dyDescent="0.2">
      <c r="A15" s="4" t="s">
        <v>14</v>
      </c>
      <c r="C15" s="1">
        <f>+D15+C8/2</f>
        <v>52684.203979999998</v>
      </c>
      <c r="D15" s="9">
        <v>52683.3943</v>
      </c>
      <c r="Q15" s="1" t="s">
        <v>13</v>
      </c>
      <c r="R15" s="1">
        <f>SUM(R21:R268)</f>
        <v>2.5199933950949269E-5</v>
      </c>
    </row>
    <row r="16" spans="1:18" x14ac:dyDescent="0.2">
      <c r="A16" s="4" t="s">
        <v>15</v>
      </c>
      <c r="C16" s="1">
        <f>+C8+C12</f>
        <v>1.6194606928826001</v>
      </c>
      <c r="Q16" s="1" t="s">
        <v>16</v>
      </c>
      <c r="R16" s="1">
        <f>COUNT(R21:R430)</f>
        <v>6</v>
      </c>
    </row>
    <row r="17" spans="1:18" x14ac:dyDescent="0.2">
      <c r="Q17" s="1" t="s">
        <v>17</v>
      </c>
      <c r="R17" s="1">
        <f>SQRT(R15/(R16-1))</f>
        <v>2.244991490003883E-3</v>
      </c>
    </row>
    <row r="18" spans="1:18" x14ac:dyDescent="0.2">
      <c r="A18" s="4" t="s">
        <v>18</v>
      </c>
      <c r="C18" s="5">
        <f>+C15</f>
        <v>52684.203979999998</v>
      </c>
      <c r="D18" s="6">
        <f>+C16</f>
        <v>1.6194606928826001</v>
      </c>
    </row>
    <row r="19" spans="1:18" x14ac:dyDescent="0.2">
      <c r="C19" s="1">
        <f>COUNT(C21:C2191)</f>
        <v>7</v>
      </c>
    </row>
    <row r="20" spans="1:18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8" x14ac:dyDescent="0.2">
      <c r="A21" s="1" t="s">
        <v>26</v>
      </c>
      <c r="C21" s="1">
        <f>+C4</f>
        <v>25247.54</v>
      </c>
      <c r="D21" s="8" t="s">
        <v>12</v>
      </c>
      <c r="E21" s="1">
        <f t="shared" ref="E21:E27" si="0">+(C21-C$7)/C$8</f>
        <v>0</v>
      </c>
      <c r="F21" s="1">
        <v>0</v>
      </c>
      <c r="H21" s="1">
        <v>0</v>
      </c>
      <c r="O21" s="1">
        <f t="shared" ref="O21:O27" si="1">+C$11+C$12*$F21</f>
        <v>-1.8618948176833092</v>
      </c>
      <c r="Q21" s="11">
        <f t="shared" ref="Q21:Q27" si="2">+C21-15018.5</f>
        <v>10229.040000000001</v>
      </c>
    </row>
    <row r="22" spans="1:18" x14ac:dyDescent="0.2">
      <c r="A22" s="13" t="s">
        <v>38</v>
      </c>
      <c r="B22" s="14"/>
      <c r="C22" s="15">
        <v>51176.483099999998</v>
      </c>
      <c r="D22" s="16">
        <v>2.5999999999999999E-3</v>
      </c>
      <c r="E22" s="1">
        <f t="shared" si="0"/>
        <v>16011.846099693705</v>
      </c>
      <c r="F22" s="1">
        <f t="shared" ref="F22:F27" si="3">ROUND(2*E22,0)/2</f>
        <v>16012</v>
      </c>
      <c r="G22" s="1">
        <f t="shared" ref="G22:G27" si="4">+C22-(C$7+F22*C$8)</f>
        <v>-0.24921999999787658</v>
      </c>
      <c r="I22" s="1">
        <f t="shared" ref="I22:I27" si="5">+G22</f>
        <v>-0.24921999999787658</v>
      </c>
      <c r="O22" s="1">
        <f t="shared" si="1"/>
        <v>-0.24960038148954689</v>
      </c>
      <c r="Q22" s="11">
        <f t="shared" si="2"/>
        <v>36157.983099999998</v>
      </c>
      <c r="R22" s="1">
        <f t="shared" ref="R22:R27" si="6">+(O22-G22)^2</f>
        <v>1.4469007920532309E-7</v>
      </c>
    </row>
    <row r="23" spans="1:18" x14ac:dyDescent="0.2">
      <c r="A23" s="13" t="s">
        <v>38</v>
      </c>
      <c r="B23" s="14"/>
      <c r="C23" s="15">
        <v>52279.335099999997</v>
      </c>
      <c r="D23" s="16">
        <v>5.0000000000000001E-4</v>
      </c>
      <c r="E23" s="1">
        <f t="shared" si="0"/>
        <v>16692.887992787273</v>
      </c>
      <c r="F23" s="1">
        <f t="shared" si="3"/>
        <v>16693</v>
      </c>
      <c r="G23" s="1">
        <f t="shared" si="4"/>
        <v>-0.18138000000180909</v>
      </c>
      <c r="I23" s="1">
        <f t="shared" si="5"/>
        <v>-0.18138000000180909</v>
      </c>
      <c r="O23" s="1">
        <f t="shared" si="1"/>
        <v>-0.18102852843883799</v>
      </c>
      <c r="Q23" s="11">
        <f t="shared" si="2"/>
        <v>37260.835099999997</v>
      </c>
      <c r="R23" s="1">
        <f t="shared" si="6"/>
        <v>1.2353225957735231E-7</v>
      </c>
    </row>
    <row r="24" spans="1:18" x14ac:dyDescent="0.2">
      <c r="A24" s="12" t="s">
        <v>39</v>
      </c>
      <c r="B24" s="14" t="s">
        <v>40</v>
      </c>
      <c r="C24" s="9">
        <v>52279.336799999997</v>
      </c>
      <c r="D24" s="14">
        <v>5.0000000000000001E-3</v>
      </c>
      <c r="E24" s="1">
        <f t="shared" si="0"/>
        <v>16692.889042584724</v>
      </c>
      <c r="F24" s="1">
        <f t="shared" si="3"/>
        <v>16693</v>
      </c>
      <c r="G24" s="1">
        <f t="shared" si="4"/>
        <v>-0.17968000000109896</v>
      </c>
      <c r="I24" s="1">
        <f t="shared" si="5"/>
        <v>-0.17968000000109896</v>
      </c>
      <c r="O24" s="1">
        <f t="shared" si="1"/>
        <v>-0.18102852843883799</v>
      </c>
      <c r="Q24" s="11">
        <f t="shared" si="2"/>
        <v>37260.836799999997</v>
      </c>
      <c r="R24" s="1">
        <f t="shared" si="6"/>
        <v>1.8185289473908614E-6</v>
      </c>
    </row>
    <row r="25" spans="1:18" x14ac:dyDescent="0.2">
      <c r="A25" s="12" t="s">
        <v>39</v>
      </c>
      <c r="B25" s="14" t="s">
        <v>40</v>
      </c>
      <c r="C25" s="9">
        <v>52360.305899999999</v>
      </c>
      <c r="D25" s="14">
        <v>3.7000000000000002E-3</v>
      </c>
      <c r="E25" s="1">
        <f t="shared" si="0"/>
        <v>16742.889721865427</v>
      </c>
      <c r="F25" s="1">
        <f t="shared" si="3"/>
        <v>16743</v>
      </c>
      <c r="G25" s="1">
        <f t="shared" si="4"/>
        <v>-0.17857999999978347</v>
      </c>
      <c r="I25" s="1">
        <f t="shared" si="5"/>
        <v>-0.17857999999978347</v>
      </c>
      <c r="O25" s="1">
        <f t="shared" si="1"/>
        <v>-0.17599388430883001</v>
      </c>
      <c r="Q25" s="11">
        <f t="shared" si="2"/>
        <v>37341.805899999999</v>
      </c>
      <c r="R25" s="1">
        <f t="shared" si="6"/>
        <v>6.6879943669956977E-6</v>
      </c>
    </row>
    <row r="26" spans="1:18" x14ac:dyDescent="0.2">
      <c r="A26" s="13" t="s">
        <v>41</v>
      </c>
      <c r="B26" s="14"/>
      <c r="C26" s="15">
        <v>52619.42</v>
      </c>
      <c r="D26" s="16">
        <v>5.9999999999999995E-4</v>
      </c>
      <c r="E26" s="1">
        <f t="shared" si="0"/>
        <v>16902.89991107598</v>
      </c>
      <c r="F26" s="1">
        <f t="shared" si="3"/>
        <v>16903</v>
      </c>
      <c r="G26" s="1">
        <f t="shared" si="4"/>
        <v>-0.16208000000187894</v>
      </c>
      <c r="I26" s="1">
        <f t="shared" si="5"/>
        <v>-0.16208000000187894</v>
      </c>
      <c r="O26" s="1">
        <f t="shared" si="1"/>
        <v>-0.15988302309280433</v>
      </c>
      <c r="Q26" s="11">
        <f t="shared" si="2"/>
        <v>37600.92</v>
      </c>
      <c r="R26" s="1">
        <f t="shared" si="6"/>
        <v>4.8267075390070298E-6</v>
      </c>
    </row>
    <row r="27" spans="1:18" x14ac:dyDescent="0.2">
      <c r="A27" s="12" t="s">
        <v>39</v>
      </c>
      <c r="B27" s="14" t="s">
        <v>42</v>
      </c>
      <c r="C27" s="9">
        <v>52683.3943</v>
      </c>
      <c r="D27" s="14">
        <v>6.1999999999999998E-3</v>
      </c>
      <c r="E27" s="1">
        <f t="shared" si="0"/>
        <v>16942.405826993381</v>
      </c>
      <c r="F27" s="1">
        <f t="shared" si="3"/>
        <v>16942.5</v>
      </c>
      <c r="G27" s="1">
        <f t="shared" si="4"/>
        <v>-0.15249999999650754</v>
      </c>
      <c r="I27" s="1">
        <f t="shared" si="5"/>
        <v>-0.15249999999650754</v>
      </c>
      <c r="O27" s="1">
        <f t="shared" si="1"/>
        <v>-0.15590565423009806</v>
      </c>
      <c r="Q27" s="11">
        <f t="shared" si="2"/>
        <v>37664.8943</v>
      </c>
      <c r="R27" s="1">
        <f t="shared" si="6"/>
        <v>1.1598480758773005E-5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Q15" sqref="Q1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0</v>
      </c>
      <c r="C1" s="3" t="s">
        <v>1</v>
      </c>
    </row>
    <row r="2" spans="1:19" x14ac:dyDescent="0.2">
      <c r="A2" s="1" t="s">
        <v>2</v>
      </c>
      <c r="C2" s="3"/>
    </row>
    <row r="4" spans="1:19" x14ac:dyDescent="0.2">
      <c r="A4" s="4" t="s">
        <v>3</v>
      </c>
      <c r="C4" s="5">
        <v>25247.54</v>
      </c>
      <c r="D4" s="6">
        <v>3.7012</v>
      </c>
    </row>
    <row r="6" spans="1:19" x14ac:dyDescent="0.2">
      <c r="A6" s="4" t="s">
        <v>4</v>
      </c>
    </row>
    <row r="7" spans="1:19" x14ac:dyDescent="0.2">
      <c r="A7" s="1" t="s">
        <v>5</v>
      </c>
      <c r="C7" s="1">
        <f>+C4</f>
        <v>25247.54</v>
      </c>
    </row>
    <row r="8" spans="1:19" x14ac:dyDescent="0.2">
      <c r="A8" s="1" t="s">
        <v>6</v>
      </c>
      <c r="C8" s="1">
        <f>+D4</f>
        <v>3.7012</v>
      </c>
    </row>
    <row r="10" spans="1:19" x14ac:dyDescent="0.2">
      <c r="C10" s="7" t="s">
        <v>7</v>
      </c>
      <c r="D10" s="7" t="s">
        <v>8</v>
      </c>
    </row>
    <row r="11" spans="1:19" x14ac:dyDescent="0.2">
      <c r="A11" s="1" t="s">
        <v>9</v>
      </c>
      <c r="C11" s="1">
        <f>INTERCEPT(G21:G999,$F21:$F999)</f>
        <v>6.2356610784133612E-2</v>
      </c>
      <c r="D11" s="8"/>
    </row>
    <row r="12" spans="1:19" x14ac:dyDescent="0.2">
      <c r="A12" s="1" t="s">
        <v>10</v>
      </c>
      <c r="C12" s="1">
        <f>SLOPE(G21:G999,$F21:$F999)</f>
        <v>1.5241726393430286E-5</v>
      </c>
      <c r="D12" s="8"/>
    </row>
    <row r="13" spans="1:19" x14ac:dyDescent="0.2">
      <c r="A13" s="1" t="s">
        <v>11</v>
      </c>
      <c r="C13" s="8" t="s">
        <v>12</v>
      </c>
      <c r="D13" s="8"/>
    </row>
    <row r="14" spans="1:19" x14ac:dyDescent="0.2">
      <c r="A14" s="1" t="s">
        <v>13</v>
      </c>
    </row>
    <row r="15" spans="1:19" x14ac:dyDescent="0.2">
      <c r="A15" s="4" t="s">
        <v>14</v>
      </c>
      <c r="C15" s="1">
        <f>+D15+C8/2</f>
        <v>52685.244899999998</v>
      </c>
      <c r="D15" s="9">
        <v>52683.3943</v>
      </c>
      <c r="Q15" s="1" t="s">
        <v>13</v>
      </c>
      <c r="R15" s="1">
        <f>SUM(R21:R268)</f>
        <v>1.273326948644222</v>
      </c>
      <c r="S15" s="1">
        <f>SUM(S21:S268)</f>
        <v>0</v>
      </c>
    </row>
    <row r="16" spans="1:19" x14ac:dyDescent="0.2">
      <c r="A16" s="4" t="s">
        <v>15</v>
      </c>
      <c r="C16" s="1">
        <f>+C8+C12</f>
        <v>3.7012152417263935</v>
      </c>
      <c r="Q16" s="1" t="s">
        <v>16</v>
      </c>
      <c r="R16" s="1">
        <f>COUNT(R21:R430)</f>
        <v>9</v>
      </c>
      <c r="S16" s="1">
        <f>COUNT(S21:S430)</f>
        <v>0</v>
      </c>
    </row>
    <row r="17" spans="1:19" x14ac:dyDescent="0.2">
      <c r="Q17" s="1" t="s">
        <v>17</v>
      </c>
      <c r="R17" s="1">
        <f>SQRT(R15/(R16-1))</f>
        <v>0.39895597323580423</v>
      </c>
      <c r="S17" s="1">
        <f>SQRT(S15/(S16-1))</f>
        <v>0</v>
      </c>
    </row>
    <row r="18" spans="1:19" x14ac:dyDescent="0.2">
      <c r="A18" s="4" t="s">
        <v>18</v>
      </c>
      <c r="C18" s="5">
        <f>+C15</f>
        <v>52685.244899999998</v>
      </c>
      <c r="D18" s="6">
        <f>+C16</f>
        <v>3.7012152417263935</v>
      </c>
    </row>
    <row r="19" spans="1:19" x14ac:dyDescent="0.2">
      <c r="C19" s="1">
        <f>COUNT(C21:C2191)</f>
        <v>9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9" x14ac:dyDescent="0.2">
      <c r="A21" s="1" t="s">
        <v>26</v>
      </c>
      <c r="C21" s="1">
        <f>+C4</f>
        <v>25247.54</v>
      </c>
      <c r="D21" s="8" t="s">
        <v>12</v>
      </c>
      <c r="E21" s="1">
        <f t="shared" ref="E21:E29" si="0">+(C21-C$7)/C$8</f>
        <v>0</v>
      </c>
      <c r="F21" s="1">
        <f t="shared" ref="F21:F29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+C$11+C$12*$F21</f>
        <v>6.2356610784133612E-2</v>
      </c>
      <c r="Q21" s="11">
        <f t="shared" ref="Q21:Q29" si="4">+C21-15018.5</f>
        <v>10229.040000000001</v>
      </c>
      <c r="R21" s="1">
        <f>+(O21-G21)^2</f>
        <v>3.8883469084839283E-3</v>
      </c>
    </row>
    <row r="22" spans="1:19" x14ac:dyDescent="0.2">
      <c r="A22" s="12" t="s">
        <v>37</v>
      </c>
      <c r="C22" s="8">
        <v>50096.321300000003</v>
      </c>
      <c r="D22" s="8">
        <v>2.0999999999999999E-3</v>
      </c>
      <c r="E22" s="1">
        <f t="shared" si="0"/>
        <v>6713.7094185669521</v>
      </c>
      <c r="F22" s="1">
        <f t="shared" si="1"/>
        <v>6713.5</v>
      </c>
      <c r="G22" s="1">
        <f t="shared" si="2"/>
        <v>0.77510000000620494</v>
      </c>
      <c r="I22" s="1">
        <f t="shared" ref="I22:I29" si="5">+G22</f>
        <v>0.77510000000620494</v>
      </c>
      <c r="O22" s="1">
        <f t="shared" si="3"/>
        <v>0.16468194092642785</v>
      </c>
      <c r="Q22" s="11">
        <f t="shared" si="4"/>
        <v>35077.821300000003</v>
      </c>
      <c r="R22" s="1">
        <f t="shared" ref="R22:R29" si="6">+(O22-G22)^2</f>
        <v>0.37261020685072221</v>
      </c>
    </row>
    <row r="23" spans="1:19" x14ac:dyDescent="0.2">
      <c r="A23" s="12" t="s">
        <v>37</v>
      </c>
      <c r="C23" s="8">
        <v>50138.4277</v>
      </c>
      <c r="D23" s="8">
        <v>2.3E-3</v>
      </c>
      <c r="E23" s="1">
        <f t="shared" si="0"/>
        <v>6725.0858370258293</v>
      </c>
      <c r="F23" s="1">
        <f t="shared" si="1"/>
        <v>6725</v>
      </c>
      <c r="G23" s="1">
        <f t="shared" si="2"/>
        <v>0.31769999999960419</v>
      </c>
      <c r="I23" s="1">
        <f t="shared" si="5"/>
        <v>0.31769999999960419</v>
      </c>
      <c r="O23" s="1">
        <f t="shared" si="3"/>
        <v>0.1648572207799523</v>
      </c>
      <c r="Q23" s="11">
        <f t="shared" si="4"/>
        <v>35119.9277</v>
      </c>
      <c r="R23" s="1">
        <f t="shared" si="6"/>
        <v>2.3360915159587253E-2</v>
      </c>
    </row>
    <row r="24" spans="1:19" x14ac:dyDescent="0.2">
      <c r="A24" s="13" t="s">
        <v>38</v>
      </c>
      <c r="B24" s="14"/>
      <c r="C24" s="15">
        <v>51176.483099999998</v>
      </c>
      <c r="D24" s="16">
        <v>2.5999999999999999E-3</v>
      </c>
      <c r="E24" s="1">
        <f t="shared" si="0"/>
        <v>7005.5503890630052</v>
      </c>
      <c r="F24" s="1">
        <f t="shared" si="1"/>
        <v>7005.5</v>
      </c>
      <c r="G24" s="1">
        <f t="shared" si="2"/>
        <v>0.18649999999615829</v>
      </c>
      <c r="I24" s="1">
        <f t="shared" si="5"/>
        <v>0.18649999999615829</v>
      </c>
      <c r="O24" s="1">
        <f t="shared" si="3"/>
        <v>0.1691325250333095</v>
      </c>
      <c r="Q24" s="11">
        <f t="shared" si="4"/>
        <v>36157.983099999998</v>
      </c>
      <c r="R24" s="1">
        <f t="shared" si="6"/>
        <v>3.0162918658517974E-4</v>
      </c>
    </row>
    <row r="25" spans="1:19" x14ac:dyDescent="0.2">
      <c r="A25" s="13" t="s">
        <v>38</v>
      </c>
      <c r="B25" s="14"/>
      <c r="C25" s="15">
        <v>52279.335099999997</v>
      </c>
      <c r="D25" s="16">
        <v>5.0000000000000001E-4</v>
      </c>
      <c r="E25" s="1">
        <f t="shared" si="0"/>
        <v>7303.5218577758551</v>
      </c>
      <c r="F25" s="1">
        <f t="shared" si="1"/>
        <v>7303.5</v>
      </c>
      <c r="G25" s="1">
        <f t="shared" si="2"/>
        <v>8.090000000083819E-2</v>
      </c>
      <c r="I25" s="1">
        <f t="shared" si="5"/>
        <v>8.090000000083819E-2</v>
      </c>
      <c r="O25" s="1">
        <f t="shared" si="3"/>
        <v>0.17367455949855171</v>
      </c>
      <c r="Q25" s="11">
        <f t="shared" si="4"/>
        <v>37260.835099999997</v>
      </c>
      <c r="R25" s="1">
        <f t="shared" si="6"/>
        <v>8.6071188899947849E-3</v>
      </c>
    </row>
    <row r="26" spans="1:19" x14ac:dyDescent="0.2">
      <c r="A26" s="12" t="s">
        <v>39</v>
      </c>
      <c r="B26" s="14" t="s">
        <v>40</v>
      </c>
      <c r="C26" s="9">
        <v>52279.336799999997</v>
      </c>
      <c r="D26" s="14">
        <v>5.0000000000000001E-3</v>
      </c>
      <c r="E26" s="1">
        <f t="shared" si="0"/>
        <v>7303.5223170863492</v>
      </c>
      <c r="F26" s="1">
        <f t="shared" si="1"/>
        <v>7303.5</v>
      </c>
      <c r="G26" s="1">
        <f t="shared" si="2"/>
        <v>8.2600000001548324E-2</v>
      </c>
      <c r="I26" s="1">
        <f t="shared" si="5"/>
        <v>8.2600000001548324E-2</v>
      </c>
      <c r="O26" s="1">
        <f t="shared" si="3"/>
        <v>0.17367455949855171</v>
      </c>
      <c r="Q26" s="11">
        <f t="shared" si="4"/>
        <v>37260.836799999997</v>
      </c>
      <c r="R26" s="1">
        <f t="shared" si="6"/>
        <v>8.2945753875732081E-3</v>
      </c>
    </row>
    <row r="27" spans="1:19" x14ac:dyDescent="0.2">
      <c r="A27" s="12" t="s">
        <v>39</v>
      </c>
      <c r="B27" s="14" t="s">
        <v>40</v>
      </c>
      <c r="C27" s="9">
        <v>52360.305899999999</v>
      </c>
      <c r="D27" s="14">
        <v>3.7000000000000002E-3</v>
      </c>
      <c r="E27" s="1">
        <f t="shared" si="0"/>
        <v>7325.3987625634927</v>
      </c>
      <c r="F27" s="1">
        <f t="shared" si="1"/>
        <v>7325.5</v>
      </c>
      <c r="G27" s="1">
        <f t="shared" si="2"/>
        <v>-0.37470000000030268</v>
      </c>
      <c r="I27" s="1">
        <f t="shared" si="5"/>
        <v>-0.37470000000030268</v>
      </c>
      <c r="O27" s="1">
        <f t="shared" si="3"/>
        <v>0.17400987747920718</v>
      </c>
      <c r="Q27" s="11">
        <f t="shared" si="4"/>
        <v>37341.805899999999</v>
      </c>
      <c r="R27" s="1">
        <f t="shared" si="6"/>
        <v>0.30108252964357868</v>
      </c>
    </row>
    <row r="28" spans="1:19" x14ac:dyDescent="0.2">
      <c r="A28" s="13" t="s">
        <v>41</v>
      </c>
      <c r="B28" s="14"/>
      <c r="C28" s="15">
        <v>52619.42</v>
      </c>
      <c r="D28" s="16">
        <v>5.9999999999999995E-4</v>
      </c>
      <c r="E28" s="1">
        <f t="shared" si="0"/>
        <v>7395.4068950610608</v>
      </c>
      <c r="F28" s="1">
        <f t="shared" si="1"/>
        <v>7395.5</v>
      </c>
      <c r="G28" s="1">
        <f t="shared" si="2"/>
        <v>-0.34460000000399305</v>
      </c>
      <c r="I28" s="1">
        <f t="shared" si="5"/>
        <v>-0.34460000000399305</v>
      </c>
      <c r="O28" s="1">
        <f t="shared" si="3"/>
        <v>0.1750767983267473</v>
      </c>
      <c r="Q28" s="11">
        <f t="shared" si="4"/>
        <v>37600.92</v>
      </c>
      <c r="R28" s="1">
        <f t="shared" si="6"/>
        <v>0.27006397472328897</v>
      </c>
    </row>
    <row r="29" spans="1:19" x14ac:dyDescent="0.2">
      <c r="A29" s="12" t="s">
        <v>39</v>
      </c>
      <c r="B29" s="14" t="s">
        <v>42</v>
      </c>
      <c r="C29" s="9">
        <v>52683.3943</v>
      </c>
      <c r="D29" s="14">
        <v>6.1999999999999998E-3</v>
      </c>
      <c r="E29" s="1">
        <f t="shared" si="0"/>
        <v>7412.691640549011</v>
      </c>
      <c r="F29" s="1">
        <f t="shared" si="1"/>
        <v>7412.5</v>
      </c>
      <c r="G29" s="1">
        <f t="shared" si="2"/>
        <v>0.70930000000225846</v>
      </c>
      <c r="I29" s="1">
        <f t="shared" si="5"/>
        <v>0.70930000000225846</v>
      </c>
      <c r="O29" s="1">
        <f t="shared" si="3"/>
        <v>0.17533590767543561</v>
      </c>
      <c r="Q29" s="11">
        <f t="shared" si="4"/>
        <v>37664.8943</v>
      </c>
      <c r="R29" s="1">
        <f t="shared" si="6"/>
        <v>0.2851176518944078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topLeftCell="A16" workbookViewId="0">
      <selection activeCell="A37" sqref="A37"/>
    </sheetView>
  </sheetViews>
  <sheetFormatPr defaultRowHeight="12.75" x14ac:dyDescent="0.2"/>
  <cols>
    <col min="1" max="1" width="19.7109375" style="19" customWidth="1"/>
    <col min="2" max="2" width="4.42578125" customWidth="1"/>
    <col min="3" max="3" width="12.7109375" style="19" customWidth="1"/>
    <col min="4" max="4" width="5.42578125" customWidth="1"/>
    <col min="5" max="5" width="14.85546875" customWidth="1"/>
    <col min="7" max="7" width="12" customWidth="1"/>
    <col min="8" max="8" width="14.140625" style="1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0" t="s">
        <v>46</v>
      </c>
      <c r="I1" s="21" t="s">
        <v>47</v>
      </c>
      <c r="J1" s="22" t="s">
        <v>48</v>
      </c>
    </row>
    <row r="2" spans="1:16" x14ac:dyDescent="0.2">
      <c r="I2" s="23" t="s">
        <v>49</v>
      </c>
      <c r="J2" s="24" t="s">
        <v>50</v>
      </c>
    </row>
    <row r="3" spans="1:16" x14ac:dyDescent="0.2">
      <c r="A3" s="25" t="s">
        <v>51</v>
      </c>
      <c r="I3" s="23" t="s">
        <v>52</v>
      </c>
      <c r="J3" s="24" t="s">
        <v>53</v>
      </c>
    </row>
    <row r="4" spans="1:16" x14ac:dyDescent="0.2">
      <c r="I4" s="23" t="s">
        <v>54</v>
      </c>
      <c r="J4" s="24" t="s">
        <v>53</v>
      </c>
    </row>
    <row r="5" spans="1:16" x14ac:dyDescent="0.2">
      <c r="I5" s="26" t="s">
        <v>55</v>
      </c>
      <c r="J5" s="27" t="s">
        <v>56</v>
      </c>
    </row>
    <row r="11" spans="1:16" ht="12.75" customHeight="1" x14ac:dyDescent="0.2">
      <c r="A11" s="19" t="str">
        <f t="shared" ref="A11:A58" si="0">P11</f>
        <v>IBVS 4887 </v>
      </c>
      <c r="B11" s="8" t="str">
        <f t="shared" ref="B11:B58" si="1">IF(H11=INT(H11),"I","II")</f>
        <v>I</v>
      </c>
      <c r="C11" s="19">
        <f t="shared" ref="C11:C58" si="2">1*G11</f>
        <v>50096.321300000003</v>
      </c>
      <c r="D11" t="str">
        <f t="shared" ref="D11:D58" si="3">VLOOKUP(F11,I$1:J$5,2,FALSE)</f>
        <v>vis</v>
      </c>
      <c r="E11">
        <f>VLOOKUP(C11,Active!C$21:E$968,3,FALSE)</f>
        <v>15343.861946886642</v>
      </c>
      <c r="F11" s="8" t="s">
        <v>55</v>
      </c>
      <c r="G11" t="str">
        <f t="shared" ref="G11:G58" si="4">MID(I11,3,LEN(I11)-3)</f>
        <v>50096.3213</v>
      </c>
      <c r="H11" s="19">
        <f t="shared" ref="H11:H58" si="5">1*K11</f>
        <v>6714</v>
      </c>
      <c r="I11" s="28" t="s">
        <v>57</v>
      </c>
      <c r="J11" s="29" t="s">
        <v>58</v>
      </c>
      <c r="K11" s="28">
        <v>6714</v>
      </c>
      <c r="L11" s="28" t="s">
        <v>59</v>
      </c>
      <c r="M11" s="29" t="s">
        <v>60</v>
      </c>
      <c r="N11" s="29" t="s">
        <v>61</v>
      </c>
      <c r="O11" s="30" t="s">
        <v>62</v>
      </c>
      <c r="P11" s="31" t="s">
        <v>63</v>
      </c>
    </row>
    <row r="12" spans="1:16" ht="12.75" customHeight="1" x14ac:dyDescent="0.2">
      <c r="A12" s="19" t="str">
        <f t="shared" si="0"/>
        <v>IBVS 4887 </v>
      </c>
      <c r="B12" s="8" t="str">
        <f t="shared" si="1"/>
        <v>I</v>
      </c>
      <c r="C12" s="19">
        <f t="shared" si="2"/>
        <v>50138.4277</v>
      </c>
      <c r="D12" t="str">
        <f t="shared" si="3"/>
        <v>vis</v>
      </c>
      <c r="E12">
        <f>VLOOKUP(C12,Active!C$21:E$968,3,FALSE)</f>
        <v>15369.862207457985</v>
      </c>
      <c r="F12" s="8" t="s">
        <v>55</v>
      </c>
      <c r="G12" t="str">
        <f t="shared" si="4"/>
        <v>50138.4277</v>
      </c>
      <c r="H12" s="19">
        <f t="shared" si="5"/>
        <v>6725</v>
      </c>
      <c r="I12" s="28" t="s">
        <v>64</v>
      </c>
      <c r="J12" s="29" t="s">
        <v>65</v>
      </c>
      <c r="K12" s="28">
        <v>6725</v>
      </c>
      <c r="L12" s="28" t="s">
        <v>66</v>
      </c>
      <c r="M12" s="29" t="s">
        <v>60</v>
      </c>
      <c r="N12" s="29" t="s">
        <v>61</v>
      </c>
      <c r="O12" s="30" t="s">
        <v>67</v>
      </c>
      <c r="P12" s="31" t="s">
        <v>63</v>
      </c>
    </row>
    <row r="13" spans="1:16" ht="12.75" customHeight="1" x14ac:dyDescent="0.2">
      <c r="A13" s="19" t="str">
        <f t="shared" si="0"/>
        <v>BAVM 152 </v>
      </c>
      <c r="B13" s="8" t="str">
        <f t="shared" si="1"/>
        <v>II</v>
      </c>
      <c r="C13" s="19">
        <f t="shared" si="2"/>
        <v>51176.483099999998</v>
      </c>
      <c r="D13" t="str">
        <f t="shared" si="3"/>
        <v>vis</v>
      </c>
      <c r="E13">
        <f>VLOOKUP(C13,Active!C$21:E$968,3,FALSE)</f>
        <v>16010.85053435111</v>
      </c>
      <c r="F13" s="8" t="s">
        <v>55</v>
      </c>
      <c r="G13" t="str">
        <f t="shared" si="4"/>
        <v>51176.4831</v>
      </c>
      <c r="H13" s="19">
        <f t="shared" si="5"/>
        <v>7005.5</v>
      </c>
      <c r="I13" s="28" t="s">
        <v>68</v>
      </c>
      <c r="J13" s="29" t="s">
        <v>69</v>
      </c>
      <c r="K13" s="28">
        <v>7005.5</v>
      </c>
      <c r="L13" s="28" t="s">
        <v>70</v>
      </c>
      <c r="M13" s="29" t="s">
        <v>60</v>
      </c>
      <c r="N13" s="29" t="s">
        <v>71</v>
      </c>
      <c r="O13" s="30" t="s">
        <v>72</v>
      </c>
      <c r="P13" s="31" t="s">
        <v>73</v>
      </c>
    </row>
    <row r="14" spans="1:16" ht="12.75" customHeight="1" x14ac:dyDescent="0.2">
      <c r="A14" s="19" t="str">
        <f t="shared" si="0"/>
        <v>OEJV 0074 </v>
      </c>
      <c r="B14" s="8" t="str">
        <f t="shared" si="1"/>
        <v>I</v>
      </c>
      <c r="C14" s="19">
        <f t="shared" si="2"/>
        <v>51956.258450000001</v>
      </c>
      <c r="D14" t="str">
        <f t="shared" si="3"/>
        <v>vis</v>
      </c>
      <c r="E14">
        <f>VLOOKUP(C14,Active!C$21:E$968,3,FALSE)</f>
        <v>16492.353638086232</v>
      </c>
      <c r="F14" s="8" t="s">
        <v>55</v>
      </c>
      <c r="G14" t="str">
        <f t="shared" si="4"/>
        <v>51956.25845</v>
      </c>
      <c r="H14" s="19">
        <f t="shared" si="5"/>
        <v>7216</v>
      </c>
      <c r="I14" s="28" t="s">
        <v>74</v>
      </c>
      <c r="J14" s="29" t="s">
        <v>75</v>
      </c>
      <c r="K14" s="28">
        <v>7216</v>
      </c>
      <c r="L14" s="28" t="s">
        <v>76</v>
      </c>
      <c r="M14" s="29" t="s">
        <v>77</v>
      </c>
      <c r="N14" s="29" t="s">
        <v>71</v>
      </c>
      <c r="O14" s="30" t="s">
        <v>78</v>
      </c>
      <c r="P14" s="31" t="s">
        <v>79</v>
      </c>
    </row>
    <row r="15" spans="1:16" ht="12.75" customHeight="1" x14ac:dyDescent="0.2">
      <c r="A15" s="19" t="str">
        <f t="shared" si="0"/>
        <v>IBVS 5583 </v>
      </c>
      <c r="B15" s="8" t="str">
        <f t="shared" si="1"/>
        <v>I</v>
      </c>
      <c r="C15" s="19">
        <f t="shared" si="2"/>
        <v>52279.336799999997</v>
      </c>
      <c r="D15" t="str">
        <f t="shared" si="3"/>
        <v>vis</v>
      </c>
      <c r="E15">
        <f>VLOOKUP(C15,Active!C$21:E$968,3,FALSE)</f>
        <v>16691.851132171701</v>
      </c>
      <c r="F15" s="8" t="s">
        <v>55</v>
      </c>
      <c r="G15" t="str">
        <f t="shared" si="4"/>
        <v>52279.3368</v>
      </c>
      <c r="H15" s="19">
        <f t="shared" si="5"/>
        <v>7303</v>
      </c>
      <c r="I15" s="28" t="s">
        <v>80</v>
      </c>
      <c r="J15" s="29" t="s">
        <v>81</v>
      </c>
      <c r="K15" s="28" t="s">
        <v>82</v>
      </c>
      <c r="L15" s="28" t="s">
        <v>83</v>
      </c>
      <c r="M15" s="29" t="s">
        <v>60</v>
      </c>
      <c r="N15" s="29" t="s">
        <v>61</v>
      </c>
      <c r="O15" s="30" t="s">
        <v>84</v>
      </c>
      <c r="P15" s="31" t="s">
        <v>85</v>
      </c>
    </row>
    <row r="16" spans="1:16" ht="12.75" customHeight="1" x14ac:dyDescent="0.2">
      <c r="A16" s="19" t="str">
        <f t="shared" si="0"/>
        <v>OEJV 0074 </v>
      </c>
      <c r="B16" s="8" t="str">
        <f t="shared" si="1"/>
        <v>II</v>
      </c>
      <c r="C16" s="19">
        <f t="shared" si="2"/>
        <v>52321.443729999999</v>
      </c>
      <c r="D16" t="str">
        <f t="shared" si="3"/>
        <v>vis</v>
      </c>
      <c r="E16">
        <f>VLOOKUP(C16,Active!C$21:E$968,3,FALSE)</f>
        <v>16717.851720012492</v>
      </c>
      <c r="F16" s="8" t="s">
        <v>55</v>
      </c>
      <c r="G16" t="str">
        <f t="shared" si="4"/>
        <v>52321.44373</v>
      </c>
      <c r="H16" s="19">
        <f t="shared" si="5"/>
        <v>7314.5</v>
      </c>
      <c r="I16" s="28" t="s">
        <v>86</v>
      </c>
      <c r="J16" s="29" t="s">
        <v>87</v>
      </c>
      <c r="K16" s="28" t="s">
        <v>88</v>
      </c>
      <c r="L16" s="28" t="s">
        <v>89</v>
      </c>
      <c r="M16" s="29" t="s">
        <v>77</v>
      </c>
      <c r="N16" s="29" t="s">
        <v>47</v>
      </c>
      <c r="O16" s="30" t="s">
        <v>78</v>
      </c>
      <c r="P16" s="31" t="s">
        <v>79</v>
      </c>
    </row>
    <row r="17" spans="1:16" ht="12.75" customHeight="1" x14ac:dyDescent="0.2">
      <c r="A17" s="19" t="str">
        <f t="shared" si="0"/>
        <v>IBVS 5583 </v>
      </c>
      <c r="B17" s="8" t="str">
        <f t="shared" si="1"/>
        <v>I</v>
      </c>
      <c r="C17" s="19">
        <f t="shared" si="2"/>
        <v>52360.305899999999</v>
      </c>
      <c r="D17" t="str">
        <f t="shared" si="3"/>
        <v>vis</v>
      </c>
      <c r="E17">
        <f>VLOOKUP(C17,Active!C$21:E$968,3,FALSE)</f>
        <v>16741.848702570202</v>
      </c>
      <c r="F17" s="8" t="s">
        <v>55</v>
      </c>
      <c r="G17" t="str">
        <f t="shared" si="4"/>
        <v>52360.3059</v>
      </c>
      <c r="H17" s="19">
        <f t="shared" si="5"/>
        <v>7325</v>
      </c>
      <c r="I17" s="28" t="s">
        <v>90</v>
      </c>
      <c r="J17" s="29" t="s">
        <v>91</v>
      </c>
      <c r="K17" s="28" t="s">
        <v>92</v>
      </c>
      <c r="L17" s="28" t="s">
        <v>93</v>
      </c>
      <c r="M17" s="29" t="s">
        <v>60</v>
      </c>
      <c r="N17" s="29" t="s">
        <v>61</v>
      </c>
      <c r="O17" s="30" t="s">
        <v>84</v>
      </c>
      <c r="P17" s="31" t="s">
        <v>85</v>
      </c>
    </row>
    <row r="18" spans="1:16" ht="12.75" customHeight="1" x14ac:dyDescent="0.2">
      <c r="A18" s="19" t="str">
        <f t="shared" si="0"/>
        <v>BAVM 158 </v>
      </c>
      <c r="B18" s="8" t="str">
        <f t="shared" si="1"/>
        <v>I</v>
      </c>
      <c r="C18" s="19">
        <f t="shared" si="2"/>
        <v>52619.42</v>
      </c>
      <c r="D18" t="str">
        <f t="shared" si="3"/>
        <v>vis</v>
      </c>
      <c r="E18">
        <f>VLOOKUP(C18,Active!C$21:E$968,3,FALSE)</f>
        <v>16901.84894285932</v>
      </c>
      <c r="F18" s="8" t="s">
        <v>55</v>
      </c>
      <c r="G18" t="str">
        <f t="shared" si="4"/>
        <v>52619.4200</v>
      </c>
      <c r="H18" s="19">
        <f t="shared" si="5"/>
        <v>7395</v>
      </c>
      <c r="I18" s="28" t="s">
        <v>94</v>
      </c>
      <c r="J18" s="29" t="s">
        <v>95</v>
      </c>
      <c r="K18" s="28" t="s">
        <v>96</v>
      </c>
      <c r="L18" s="28" t="s">
        <v>97</v>
      </c>
      <c r="M18" s="29" t="s">
        <v>60</v>
      </c>
      <c r="N18" s="29" t="s">
        <v>71</v>
      </c>
      <c r="O18" s="30" t="s">
        <v>72</v>
      </c>
      <c r="P18" s="31" t="s">
        <v>98</v>
      </c>
    </row>
    <row r="19" spans="1:16" ht="12.75" customHeight="1" x14ac:dyDescent="0.2">
      <c r="A19" s="19" t="str">
        <f t="shared" si="0"/>
        <v>IBVS 5583 </v>
      </c>
      <c r="B19" s="8" t="str">
        <f t="shared" si="1"/>
        <v>I</v>
      </c>
      <c r="C19" s="19">
        <f t="shared" si="2"/>
        <v>52683.3943</v>
      </c>
      <c r="D19" t="str">
        <f t="shared" si="3"/>
        <v>vis</v>
      </c>
      <c r="E19">
        <f>VLOOKUP(C19,Active!C$21:E$968,3,FALSE)</f>
        <v>16941.352402425313</v>
      </c>
      <c r="F19" s="8" t="s">
        <v>55</v>
      </c>
      <c r="G19" t="str">
        <f t="shared" si="4"/>
        <v>52683.3943</v>
      </c>
      <c r="H19" s="19">
        <f t="shared" si="5"/>
        <v>7412</v>
      </c>
      <c r="I19" s="28" t="s">
        <v>99</v>
      </c>
      <c r="J19" s="29" t="s">
        <v>100</v>
      </c>
      <c r="K19" s="28" t="s">
        <v>101</v>
      </c>
      <c r="L19" s="28" t="s">
        <v>102</v>
      </c>
      <c r="M19" s="29" t="s">
        <v>60</v>
      </c>
      <c r="N19" s="29" t="s">
        <v>103</v>
      </c>
      <c r="O19" s="30" t="s">
        <v>84</v>
      </c>
      <c r="P19" s="31" t="s">
        <v>85</v>
      </c>
    </row>
    <row r="20" spans="1:16" ht="12.75" customHeight="1" x14ac:dyDescent="0.2">
      <c r="A20" s="19" t="str">
        <f t="shared" si="0"/>
        <v>BAVM 178 </v>
      </c>
      <c r="B20" s="8" t="str">
        <f t="shared" si="1"/>
        <v>II</v>
      </c>
      <c r="C20" s="19">
        <f t="shared" si="2"/>
        <v>53717.408100000001</v>
      </c>
      <c r="D20" t="str">
        <f t="shared" si="3"/>
        <v>vis</v>
      </c>
      <c r="E20">
        <f>VLOOKUP(C20,Active!C$21:E$968,3,FALSE)</f>
        <v>17579.84508368915</v>
      </c>
      <c r="F20" s="8" t="s">
        <v>55</v>
      </c>
      <c r="G20" t="str">
        <f t="shared" si="4"/>
        <v>53717.4081</v>
      </c>
      <c r="H20" s="19">
        <f t="shared" si="5"/>
        <v>7691.5</v>
      </c>
      <c r="I20" s="28" t="s">
        <v>104</v>
      </c>
      <c r="J20" s="29" t="s">
        <v>105</v>
      </c>
      <c r="K20" s="28" t="s">
        <v>106</v>
      </c>
      <c r="L20" s="28" t="s">
        <v>107</v>
      </c>
      <c r="M20" s="29" t="s">
        <v>77</v>
      </c>
      <c r="N20" s="29" t="s">
        <v>108</v>
      </c>
      <c r="O20" s="30" t="s">
        <v>109</v>
      </c>
      <c r="P20" s="31" t="s">
        <v>110</v>
      </c>
    </row>
    <row r="21" spans="1:16" ht="12.75" customHeight="1" x14ac:dyDescent="0.2">
      <c r="A21" s="19" t="str">
        <f t="shared" si="0"/>
        <v>BAVM 183 </v>
      </c>
      <c r="B21" s="8" t="str">
        <f t="shared" si="1"/>
        <v>I</v>
      </c>
      <c r="C21" s="19">
        <f t="shared" si="2"/>
        <v>54091.499000000003</v>
      </c>
      <c r="D21" t="str">
        <f t="shared" si="3"/>
        <v>vis</v>
      </c>
      <c r="E21">
        <f>VLOOKUP(C21,Active!C$21:E$968,3,FALSE)</f>
        <v>17810.842292602032</v>
      </c>
      <c r="F21" s="8" t="s">
        <v>55</v>
      </c>
      <c r="G21" t="str">
        <f t="shared" si="4"/>
        <v>54091.4990</v>
      </c>
      <c r="H21" s="19">
        <f t="shared" si="5"/>
        <v>7792</v>
      </c>
      <c r="I21" s="28" t="s">
        <v>111</v>
      </c>
      <c r="J21" s="29" t="s">
        <v>112</v>
      </c>
      <c r="K21" s="28" t="s">
        <v>113</v>
      </c>
      <c r="L21" s="28" t="s">
        <v>114</v>
      </c>
      <c r="M21" s="29" t="s">
        <v>77</v>
      </c>
      <c r="N21" s="29" t="s">
        <v>108</v>
      </c>
      <c r="O21" s="30" t="s">
        <v>109</v>
      </c>
      <c r="P21" s="31" t="s">
        <v>115</v>
      </c>
    </row>
    <row r="22" spans="1:16" ht="12.75" customHeight="1" x14ac:dyDescent="0.2">
      <c r="A22" s="19" t="str">
        <f t="shared" si="0"/>
        <v>IBVS 5835 </v>
      </c>
      <c r="B22" s="8" t="str">
        <f t="shared" si="1"/>
        <v>I</v>
      </c>
      <c r="C22" s="19">
        <f t="shared" si="2"/>
        <v>54380.572</v>
      </c>
      <c r="D22" t="str">
        <f t="shared" si="3"/>
        <v>vis</v>
      </c>
      <c r="E22">
        <f>VLOOKUP(C22,Active!C$21:E$968,3,FALSE)</f>
        <v>17989.341839562603</v>
      </c>
      <c r="F22" s="8" t="s">
        <v>55</v>
      </c>
      <c r="G22" t="str">
        <f t="shared" si="4"/>
        <v>54380.5720</v>
      </c>
      <c r="H22" s="19">
        <f t="shared" si="5"/>
        <v>7870</v>
      </c>
      <c r="I22" s="28" t="s">
        <v>116</v>
      </c>
      <c r="J22" s="29" t="s">
        <v>117</v>
      </c>
      <c r="K22" s="28" t="s">
        <v>118</v>
      </c>
      <c r="L22" s="28" t="s">
        <v>119</v>
      </c>
      <c r="M22" s="29" t="s">
        <v>77</v>
      </c>
      <c r="N22" s="29" t="s">
        <v>71</v>
      </c>
      <c r="O22" s="30" t="s">
        <v>120</v>
      </c>
      <c r="P22" s="31" t="s">
        <v>121</v>
      </c>
    </row>
    <row r="23" spans="1:16" ht="12.75" customHeight="1" x14ac:dyDescent="0.2">
      <c r="A23" s="19" t="str">
        <f t="shared" si="0"/>
        <v>JAAVSO 36(2);171 </v>
      </c>
      <c r="B23" s="8" t="str">
        <f t="shared" si="1"/>
        <v>I</v>
      </c>
      <c r="C23" s="19">
        <f t="shared" si="2"/>
        <v>54460.733</v>
      </c>
      <c r="D23" t="str">
        <f t="shared" si="3"/>
        <v>vis</v>
      </c>
      <c r="E23">
        <f>VLOOKUP(C23,Active!C$21:E$968,3,FALSE)</f>
        <v>18038.840416682935</v>
      </c>
      <c r="F23" s="8" t="s">
        <v>55</v>
      </c>
      <c r="G23" t="str">
        <f t="shared" si="4"/>
        <v>54460.7330</v>
      </c>
      <c r="H23" s="19">
        <f t="shared" si="5"/>
        <v>7892</v>
      </c>
      <c r="I23" s="28" t="s">
        <v>122</v>
      </c>
      <c r="J23" s="29" t="s">
        <v>123</v>
      </c>
      <c r="K23" s="28" t="s">
        <v>124</v>
      </c>
      <c r="L23" s="28" t="s">
        <v>125</v>
      </c>
      <c r="M23" s="29" t="s">
        <v>77</v>
      </c>
      <c r="N23" s="29" t="s">
        <v>126</v>
      </c>
      <c r="O23" s="30" t="s">
        <v>127</v>
      </c>
      <c r="P23" s="31" t="s">
        <v>128</v>
      </c>
    </row>
    <row r="24" spans="1:16" ht="12.75" customHeight="1" x14ac:dyDescent="0.2">
      <c r="A24" s="19" t="str">
        <f t="shared" si="0"/>
        <v>BAVM 201 </v>
      </c>
      <c r="B24" s="8" t="str">
        <f t="shared" si="1"/>
        <v>I</v>
      </c>
      <c r="C24" s="19">
        <f t="shared" si="2"/>
        <v>54500.415399999998</v>
      </c>
      <c r="D24" t="str">
        <f t="shared" si="3"/>
        <v>vis</v>
      </c>
      <c r="E24">
        <f>VLOOKUP(C24,Active!C$21:E$968,3,FALSE)</f>
        <v>18063.343882666642</v>
      </c>
      <c r="F24" s="8" t="s">
        <v>55</v>
      </c>
      <c r="G24" t="str">
        <f t="shared" si="4"/>
        <v>54500.4154</v>
      </c>
      <c r="H24" s="19">
        <f t="shared" si="5"/>
        <v>7903</v>
      </c>
      <c r="I24" s="28" t="s">
        <v>129</v>
      </c>
      <c r="J24" s="29" t="s">
        <v>130</v>
      </c>
      <c r="K24" s="28" t="s">
        <v>131</v>
      </c>
      <c r="L24" s="28" t="s">
        <v>132</v>
      </c>
      <c r="M24" s="29" t="s">
        <v>77</v>
      </c>
      <c r="N24" s="29" t="s">
        <v>108</v>
      </c>
      <c r="O24" s="30" t="s">
        <v>109</v>
      </c>
      <c r="P24" s="31" t="s">
        <v>133</v>
      </c>
    </row>
    <row r="25" spans="1:16" ht="12.75" customHeight="1" x14ac:dyDescent="0.2">
      <c r="A25" s="19" t="str">
        <f t="shared" si="0"/>
        <v>JAAVSO 36(2);171 </v>
      </c>
      <c r="B25" s="8" t="str">
        <f t="shared" si="1"/>
        <v>II</v>
      </c>
      <c r="C25" s="19">
        <f t="shared" si="2"/>
        <v>54507.698100000001</v>
      </c>
      <c r="D25" t="str">
        <f t="shared" si="3"/>
        <v>vis</v>
      </c>
      <c r="E25">
        <f>VLOOKUP(C25,Active!C$21:E$968,3,FALSE)</f>
        <v>18067.840873567384</v>
      </c>
      <c r="F25" s="8" t="s">
        <v>55</v>
      </c>
      <c r="G25" t="str">
        <f t="shared" si="4"/>
        <v>54507.6981</v>
      </c>
      <c r="H25" s="19">
        <f t="shared" si="5"/>
        <v>7904.5</v>
      </c>
      <c r="I25" s="28" t="s">
        <v>134</v>
      </c>
      <c r="J25" s="29" t="s">
        <v>135</v>
      </c>
      <c r="K25" s="28" t="s">
        <v>136</v>
      </c>
      <c r="L25" s="28" t="s">
        <v>137</v>
      </c>
      <c r="M25" s="29" t="s">
        <v>77</v>
      </c>
      <c r="N25" s="29" t="s">
        <v>126</v>
      </c>
      <c r="O25" s="30" t="s">
        <v>127</v>
      </c>
      <c r="P25" s="31" t="s">
        <v>128</v>
      </c>
    </row>
    <row r="26" spans="1:16" ht="12.75" customHeight="1" x14ac:dyDescent="0.2">
      <c r="A26" s="19" t="str">
        <f t="shared" si="0"/>
        <v>JAAVSO 36(2);171 </v>
      </c>
      <c r="B26" s="8" t="str">
        <f t="shared" si="1"/>
        <v>I</v>
      </c>
      <c r="C26" s="19">
        <f t="shared" si="2"/>
        <v>54520.652900000001</v>
      </c>
      <c r="D26" t="str">
        <f t="shared" si="3"/>
        <v>vis</v>
      </c>
      <c r="E26">
        <f>VLOOKUP(C26,Active!C$21:E$968,3,FALSE)</f>
        <v>18075.840326753831</v>
      </c>
      <c r="F26" s="8" t="s">
        <v>55</v>
      </c>
      <c r="G26" t="str">
        <f t="shared" si="4"/>
        <v>54520.6529</v>
      </c>
      <c r="H26" s="19">
        <f t="shared" si="5"/>
        <v>7908</v>
      </c>
      <c r="I26" s="28" t="s">
        <v>138</v>
      </c>
      <c r="J26" s="29" t="s">
        <v>139</v>
      </c>
      <c r="K26" s="28" t="s">
        <v>140</v>
      </c>
      <c r="L26" s="28" t="s">
        <v>141</v>
      </c>
      <c r="M26" s="29" t="s">
        <v>77</v>
      </c>
      <c r="N26" s="29" t="s">
        <v>126</v>
      </c>
      <c r="O26" s="30" t="s">
        <v>142</v>
      </c>
      <c r="P26" s="31" t="s">
        <v>128</v>
      </c>
    </row>
    <row r="27" spans="1:16" ht="12.75" customHeight="1" x14ac:dyDescent="0.2">
      <c r="A27" s="19" t="str">
        <f t="shared" si="0"/>
        <v>IBVS 5871 </v>
      </c>
      <c r="B27" s="8" t="str">
        <f t="shared" si="1"/>
        <v>II</v>
      </c>
      <c r="C27" s="19">
        <f t="shared" si="2"/>
        <v>54800.815900000001</v>
      </c>
      <c r="D27" t="str">
        <f t="shared" si="3"/>
        <v>vis</v>
      </c>
      <c r="E27">
        <f>VLOOKUP(C27,Active!C$21:E$968,3,FALSE)</f>
        <v>18248.838042123702</v>
      </c>
      <c r="F27" s="8" t="s">
        <v>55</v>
      </c>
      <c r="G27" t="str">
        <f t="shared" si="4"/>
        <v>54800.8159</v>
      </c>
      <c r="H27" s="19">
        <f t="shared" si="5"/>
        <v>7983.5</v>
      </c>
      <c r="I27" s="28" t="s">
        <v>143</v>
      </c>
      <c r="J27" s="29" t="s">
        <v>144</v>
      </c>
      <c r="K27" s="28" t="s">
        <v>145</v>
      </c>
      <c r="L27" s="28" t="s">
        <v>146</v>
      </c>
      <c r="M27" s="29" t="s">
        <v>77</v>
      </c>
      <c r="N27" s="29" t="s">
        <v>55</v>
      </c>
      <c r="O27" s="30" t="s">
        <v>147</v>
      </c>
      <c r="P27" s="31" t="s">
        <v>148</v>
      </c>
    </row>
    <row r="28" spans="1:16" ht="12.75" customHeight="1" x14ac:dyDescent="0.2">
      <c r="A28" s="19" t="str">
        <f t="shared" si="0"/>
        <v> JAAVSO 38;85 </v>
      </c>
      <c r="B28" s="8" t="str">
        <f t="shared" si="1"/>
        <v>I</v>
      </c>
      <c r="C28" s="19">
        <f t="shared" si="2"/>
        <v>54887.465900000003</v>
      </c>
      <c r="D28" t="str">
        <f t="shared" si="3"/>
        <v>vis</v>
      </c>
      <c r="E28">
        <f>VLOOKUP(C28,Active!C$21:E$968,3,FALSE)</f>
        <v>18302.343508715647</v>
      </c>
      <c r="F28" s="8" t="s">
        <v>55</v>
      </c>
      <c r="G28" t="str">
        <f t="shared" si="4"/>
        <v>54887.4659</v>
      </c>
      <c r="H28" s="19">
        <f t="shared" si="5"/>
        <v>8007</v>
      </c>
      <c r="I28" s="28" t="s">
        <v>149</v>
      </c>
      <c r="J28" s="29" t="s">
        <v>150</v>
      </c>
      <c r="K28" s="28" t="s">
        <v>151</v>
      </c>
      <c r="L28" s="28" t="s">
        <v>152</v>
      </c>
      <c r="M28" s="29" t="s">
        <v>77</v>
      </c>
      <c r="N28" s="29" t="s">
        <v>126</v>
      </c>
      <c r="O28" s="30" t="s">
        <v>153</v>
      </c>
      <c r="P28" s="30" t="s">
        <v>154</v>
      </c>
    </row>
    <row r="29" spans="1:16" ht="12.75" customHeight="1" x14ac:dyDescent="0.2">
      <c r="A29" s="19" t="str">
        <f t="shared" si="0"/>
        <v>IBVS 6007 </v>
      </c>
      <c r="B29" s="8" t="str">
        <f t="shared" si="1"/>
        <v>I</v>
      </c>
      <c r="C29" s="19">
        <f t="shared" si="2"/>
        <v>55168.433850000001</v>
      </c>
      <c r="D29" t="str">
        <f t="shared" si="3"/>
        <v>vis</v>
      </c>
      <c r="E29">
        <f>VLOOKUP(C29,Active!C$21:E$968,3,FALSE)</f>
        <v>18475.838272271707</v>
      </c>
      <c r="F29" s="8" t="s">
        <v>55</v>
      </c>
      <c r="G29" t="str">
        <f t="shared" si="4"/>
        <v>55168.43385</v>
      </c>
      <c r="H29" s="19">
        <f t="shared" si="5"/>
        <v>8083</v>
      </c>
      <c r="I29" s="28" t="s">
        <v>155</v>
      </c>
      <c r="J29" s="29" t="s">
        <v>156</v>
      </c>
      <c r="K29" s="28" t="s">
        <v>157</v>
      </c>
      <c r="L29" s="28" t="s">
        <v>158</v>
      </c>
      <c r="M29" s="29" t="s">
        <v>77</v>
      </c>
      <c r="N29" s="29" t="s">
        <v>103</v>
      </c>
      <c r="O29" s="30" t="s">
        <v>159</v>
      </c>
      <c r="P29" s="31" t="s">
        <v>160</v>
      </c>
    </row>
    <row r="30" spans="1:16" ht="12.75" customHeight="1" x14ac:dyDescent="0.2">
      <c r="A30" s="19" t="str">
        <f t="shared" si="0"/>
        <v> JAAVSO 38;120 </v>
      </c>
      <c r="B30" s="8" t="str">
        <f t="shared" si="1"/>
        <v>II</v>
      </c>
      <c r="C30" s="19">
        <f t="shared" si="2"/>
        <v>55210.54</v>
      </c>
      <c r="D30" t="str">
        <f t="shared" si="3"/>
        <v>vis</v>
      </c>
      <c r="E30">
        <f>VLOOKUP(C30,Active!C$21:E$968,3,FALSE)</f>
        <v>18501.838378470675</v>
      </c>
      <c r="F30" s="8" t="s">
        <v>55</v>
      </c>
      <c r="G30" t="str">
        <f t="shared" si="4"/>
        <v>55210.5400</v>
      </c>
      <c r="H30" s="19">
        <f t="shared" si="5"/>
        <v>8094.5</v>
      </c>
      <c r="I30" s="28" t="s">
        <v>161</v>
      </c>
      <c r="J30" s="29" t="s">
        <v>162</v>
      </c>
      <c r="K30" s="28" t="s">
        <v>163</v>
      </c>
      <c r="L30" s="28" t="s">
        <v>164</v>
      </c>
      <c r="M30" s="29" t="s">
        <v>77</v>
      </c>
      <c r="N30" s="29" t="s">
        <v>126</v>
      </c>
      <c r="O30" s="30" t="s">
        <v>142</v>
      </c>
      <c r="P30" s="30" t="s">
        <v>165</v>
      </c>
    </row>
    <row r="31" spans="1:16" ht="12.75" customHeight="1" x14ac:dyDescent="0.2">
      <c r="A31" s="19" t="str">
        <f t="shared" si="0"/>
        <v>IBVS 5960 </v>
      </c>
      <c r="B31" s="8" t="str">
        <f t="shared" si="1"/>
        <v>I</v>
      </c>
      <c r="C31" s="19">
        <f t="shared" si="2"/>
        <v>55523.8966</v>
      </c>
      <c r="D31" t="str">
        <f t="shared" si="3"/>
        <v>vis</v>
      </c>
      <c r="E31">
        <f>VLOOKUP(C31,Active!C$21:E$968,3,FALSE)</f>
        <v>18695.332793850546</v>
      </c>
      <c r="F31" s="8" t="s">
        <v>55</v>
      </c>
      <c r="G31" t="str">
        <f t="shared" si="4"/>
        <v>55523.8966</v>
      </c>
      <c r="H31" s="19">
        <f t="shared" si="5"/>
        <v>8179</v>
      </c>
      <c r="I31" s="28" t="s">
        <v>166</v>
      </c>
      <c r="J31" s="29" t="s">
        <v>167</v>
      </c>
      <c r="K31" s="28" t="s">
        <v>168</v>
      </c>
      <c r="L31" s="28" t="s">
        <v>169</v>
      </c>
      <c r="M31" s="29" t="s">
        <v>77</v>
      </c>
      <c r="N31" s="29" t="s">
        <v>55</v>
      </c>
      <c r="O31" s="30" t="s">
        <v>147</v>
      </c>
      <c r="P31" s="31" t="s">
        <v>170</v>
      </c>
    </row>
    <row r="32" spans="1:16" ht="12.75" customHeight="1" x14ac:dyDescent="0.2">
      <c r="A32" s="19" t="str">
        <f t="shared" si="0"/>
        <v> JAAVSO 39;177 </v>
      </c>
      <c r="B32" s="8" t="str">
        <f t="shared" si="1"/>
        <v>I</v>
      </c>
      <c r="C32" s="19">
        <f t="shared" si="2"/>
        <v>55631.597199999997</v>
      </c>
      <c r="D32" t="str">
        <f t="shared" si="3"/>
        <v>vis</v>
      </c>
      <c r="E32">
        <f>VLOOKUP(C32,Active!C$21:E$968,3,FALSE)</f>
        <v>18761.836785255418</v>
      </c>
      <c r="F32" s="8" t="s">
        <v>55</v>
      </c>
      <c r="G32" t="str">
        <f t="shared" si="4"/>
        <v>55631.5972</v>
      </c>
      <c r="H32" s="19">
        <f t="shared" si="5"/>
        <v>8208</v>
      </c>
      <c r="I32" s="28" t="s">
        <v>171</v>
      </c>
      <c r="J32" s="29" t="s">
        <v>172</v>
      </c>
      <c r="K32" s="28" t="s">
        <v>173</v>
      </c>
      <c r="L32" s="28" t="s">
        <v>174</v>
      </c>
      <c r="M32" s="29" t="s">
        <v>77</v>
      </c>
      <c r="N32" s="29" t="s">
        <v>55</v>
      </c>
      <c r="O32" s="30" t="s">
        <v>142</v>
      </c>
      <c r="P32" s="30" t="s">
        <v>175</v>
      </c>
    </row>
    <row r="33" spans="1:16" ht="12.75" customHeight="1" x14ac:dyDescent="0.2">
      <c r="A33" s="19" t="str">
        <f t="shared" si="0"/>
        <v> JAAVSO 40;975 </v>
      </c>
      <c r="B33" s="8" t="str">
        <f t="shared" si="1"/>
        <v>II</v>
      </c>
      <c r="C33" s="19">
        <f t="shared" si="2"/>
        <v>55911.7618</v>
      </c>
      <c r="D33" t="str">
        <f t="shared" si="3"/>
        <v>vis</v>
      </c>
      <c r="E33">
        <f>VLOOKUP(C33,Active!C$21:E$968,3,FALSE)</f>
        <v>18934.835488608522</v>
      </c>
      <c r="F33" s="8" t="s">
        <v>55</v>
      </c>
      <c r="G33" t="str">
        <f t="shared" si="4"/>
        <v>55911.7618</v>
      </c>
      <c r="H33" s="19">
        <f t="shared" si="5"/>
        <v>8283.5</v>
      </c>
      <c r="I33" s="28" t="s">
        <v>176</v>
      </c>
      <c r="J33" s="29" t="s">
        <v>177</v>
      </c>
      <c r="K33" s="28" t="s">
        <v>178</v>
      </c>
      <c r="L33" s="28" t="s">
        <v>179</v>
      </c>
      <c r="M33" s="29" t="s">
        <v>77</v>
      </c>
      <c r="N33" s="29" t="s">
        <v>55</v>
      </c>
      <c r="O33" s="30" t="s">
        <v>142</v>
      </c>
      <c r="P33" s="30" t="s">
        <v>180</v>
      </c>
    </row>
    <row r="34" spans="1:16" ht="12.75" customHeight="1" x14ac:dyDescent="0.2">
      <c r="A34" s="19" t="str">
        <f t="shared" si="0"/>
        <v>IBVS 6029 </v>
      </c>
      <c r="B34" s="8" t="str">
        <f t="shared" si="1"/>
        <v>I</v>
      </c>
      <c r="C34" s="19">
        <f t="shared" si="2"/>
        <v>55958.723899999997</v>
      </c>
      <c r="D34" t="str">
        <f t="shared" si="3"/>
        <v>vis</v>
      </c>
      <c r="E34">
        <f>VLOOKUP(C34,Active!C$21:E$968,3,FALSE)</f>
        <v>18963.834093024416</v>
      </c>
      <c r="F34" s="8" t="s">
        <v>55</v>
      </c>
      <c r="G34" t="str">
        <f t="shared" si="4"/>
        <v>55958.7239</v>
      </c>
      <c r="H34" s="19">
        <f t="shared" si="5"/>
        <v>8296</v>
      </c>
      <c r="I34" s="28" t="s">
        <v>181</v>
      </c>
      <c r="J34" s="29" t="s">
        <v>182</v>
      </c>
      <c r="K34" s="28" t="s">
        <v>183</v>
      </c>
      <c r="L34" s="28" t="s">
        <v>184</v>
      </c>
      <c r="M34" s="29" t="s">
        <v>77</v>
      </c>
      <c r="N34" s="29" t="s">
        <v>55</v>
      </c>
      <c r="O34" s="30" t="s">
        <v>147</v>
      </c>
      <c r="P34" s="31" t="s">
        <v>185</v>
      </c>
    </row>
    <row r="35" spans="1:16" ht="12.75" customHeight="1" x14ac:dyDescent="0.2">
      <c r="A35" s="19" t="str">
        <f t="shared" si="0"/>
        <v>IBVS 6042 </v>
      </c>
      <c r="B35" s="8" t="str">
        <f t="shared" si="1"/>
        <v>I</v>
      </c>
      <c r="C35" s="19">
        <f t="shared" si="2"/>
        <v>56255.894500000002</v>
      </c>
      <c r="D35" t="str">
        <f t="shared" si="3"/>
        <v>vis</v>
      </c>
      <c r="E35">
        <f>VLOOKUP(C35,Active!C$21:E$968,3,FALSE)</f>
        <v>19147.333823092609</v>
      </c>
      <c r="F35" s="8" t="s">
        <v>55</v>
      </c>
      <c r="G35" t="str">
        <f t="shared" si="4"/>
        <v>56255.8945</v>
      </c>
      <c r="H35" s="19">
        <f t="shared" si="5"/>
        <v>8376</v>
      </c>
      <c r="I35" s="28" t="s">
        <v>186</v>
      </c>
      <c r="J35" s="29" t="s">
        <v>187</v>
      </c>
      <c r="K35" s="28" t="s">
        <v>188</v>
      </c>
      <c r="L35" s="28" t="s">
        <v>189</v>
      </c>
      <c r="M35" s="29" t="s">
        <v>77</v>
      </c>
      <c r="N35" s="29" t="s">
        <v>55</v>
      </c>
      <c r="O35" s="30" t="s">
        <v>147</v>
      </c>
      <c r="P35" s="31" t="s">
        <v>190</v>
      </c>
    </row>
    <row r="36" spans="1:16" ht="12.75" customHeight="1" x14ac:dyDescent="0.2">
      <c r="A36" s="19" t="str">
        <f t="shared" si="0"/>
        <v> JAAVSO 42;426 </v>
      </c>
      <c r="B36" s="8" t="str">
        <f t="shared" si="1"/>
        <v>I</v>
      </c>
      <c r="C36" s="19">
        <f t="shared" si="2"/>
        <v>56604.887300000002</v>
      </c>
      <c r="D36" t="str">
        <f t="shared" si="3"/>
        <v>vis</v>
      </c>
      <c r="E36">
        <f>VLOOKUP(C36,Active!C$21:E$968,3,FALSE)</f>
        <v>19362.833218375123</v>
      </c>
      <c r="F36" s="8" t="s">
        <v>55</v>
      </c>
      <c r="G36" t="str">
        <f t="shared" si="4"/>
        <v>56604.8873</v>
      </c>
      <c r="H36" s="19">
        <f t="shared" si="5"/>
        <v>8470</v>
      </c>
      <c r="I36" s="28" t="s">
        <v>191</v>
      </c>
      <c r="J36" s="29" t="s">
        <v>192</v>
      </c>
      <c r="K36" s="28" t="s">
        <v>193</v>
      </c>
      <c r="L36" s="28" t="s">
        <v>194</v>
      </c>
      <c r="M36" s="29" t="s">
        <v>77</v>
      </c>
      <c r="N36" s="29" t="s">
        <v>55</v>
      </c>
      <c r="O36" s="30" t="s">
        <v>142</v>
      </c>
      <c r="P36" s="30" t="s">
        <v>195</v>
      </c>
    </row>
    <row r="37" spans="1:16" ht="12.75" customHeight="1" x14ac:dyDescent="0.2">
      <c r="A37" s="19" t="str">
        <f t="shared" si="0"/>
        <v> AOEB 10 </v>
      </c>
      <c r="B37" s="8" t="str">
        <f t="shared" si="1"/>
        <v>I</v>
      </c>
      <c r="C37" s="19">
        <f t="shared" si="2"/>
        <v>51144.902000000002</v>
      </c>
      <c r="D37" t="str">
        <f t="shared" si="3"/>
        <v>vis</v>
      </c>
      <c r="E37">
        <f>VLOOKUP(C37,Active!C$21:E$968,3,FALSE)</f>
        <v>15991.349536186231</v>
      </c>
      <c r="F37" s="8" t="s">
        <v>55</v>
      </c>
      <c r="G37" t="str">
        <f t="shared" si="4"/>
        <v>51144.9020</v>
      </c>
      <c r="H37" s="19">
        <f t="shared" si="5"/>
        <v>6997</v>
      </c>
      <c r="I37" s="28" t="s">
        <v>196</v>
      </c>
      <c r="J37" s="29" t="s">
        <v>197</v>
      </c>
      <c r="K37" s="28">
        <v>6997</v>
      </c>
      <c r="L37" s="28" t="s">
        <v>198</v>
      </c>
      <c r="M37" s="29" t="s">
        <v>77</v>
      </c>
      <c r="N37" s="29" t="s">
        <v>126</v>
      </c>
      <c r="O37" s="30" t="s">
        <v>142</v>
      </c>
      <c r="P37" s="30" t="s">
        <v>199</v>
      </c>
    </row>
    <row r="38" spans="1:16" ht="12.75" customHeight="1" x14ac:dyDescent="0.2">
      <c r="A38" s="19" t="str">
        <f t="shared" si="0"/>
        <v> BRNO 32 </v>
      </c>
      <c r="B38" s="8" t="str">
        <f t="shared" si="1"/>
        <v>I</v>
      </c>
      <c r="C38" s="19">
        <f t="shared" si="2"/>
        <v>51555.442499999997</v>
      </c>
      <c r="D38" t="str">
        <f t="shared" si="3"/>
        <v>vis</v>
      </c>
      <c r="E38">
        <f>VLOOKUP(C38,Active!C$21:E$968,3,FALSE)</f>
        <v>16244.853990974352</v>
      </c>
      <c r="F38" s="8" t="s">
        <v>55</v>
      </c>
      <c r="G38" t="str">
        <f t="shared" si="4"/>
        <v>51555.4425</v>
      </c>
      <c r="H38" s="19">
        <f t="shared" si="5"/>
        <v>7108</v>
      </c>
      <c r="I38" s="28" t="s">
        <v>200</v>
      </c>
      <c r="J38" s="29" t="s">
        <v>201</v>
      </c>
      <c r="K38" s="28">
        <v>7108</v>
      </c>
      <c r="L38" s="28" t="s">
        <v>202</v>
      </c>
      <c r="M38" s="29" t="s">
        <v>60</v>
      </c>
      <c r="N38" s="29" t="s">
        <v>61</v>
      </c>
      <c r="O38" s="30" t="s">
        <v>62</v>
      </c>
      <c r="P38" s="30" t="s">
        <v>203</v>
      </c>
    </row>
    <row r="39" spans="1:16" ht="12.75" customHeight="1" x14ac:dyDescent="0.2">
      <c r="A39" s="19" t="str">
        <f t="shared" si="0"/>
        <v> BRNO 32 </v>
      </c>
      <c r="B39" s="8" t="str">
        <f t="shared" si="1"/>
        <v>I</v>
      </c>
      <c r="C39" s="19">
        <f t="shared" si="2"/>
        <v>51585.406999999999</v>
      </c>
      <c r="D39" t="str">
        <f t="shared" si="3"/>
        <v>vis</v>
      </c>
      <c r="E39">
        <f>VLOOKUP(C39,Active!C$21:E$968,3,FALSE)</f>
        <v>16263.3567555871</v>
      </c>
      <c r="F39" s="8" t="s">
        <v>55</v>
      </c>
      <c r="G39" t="str">
        <f t="shared" si="4"/>
        <v>51585.4070</v>
      </c>
      <c r="H39" s="19">
        <f t="shared" si="5"/>
        <v>7116</v>
      </c>
      <c r="I39" s="28" t="s">
        <v>204</v>
      </c>
      <c r="J39" s="29" t="s">
        <v>205</v>
      </c>
      <c r="K39" s="28">
        <v>7116</v>
      </c>
      <c r="L39" s="28" t="s">
        <v>206</v>
      </c>
      <c r="M39" s="29" t="s">
        <v>60</v>
      </c>
      <c r="N39" s="29" t="s">
        <v>61</v>
      </c>
      <c r="O39" s="30" t="s">
        <v>62</v>
      </c>
      <c r="P39" s="30" t="s">
        <v>203</v>
      </c>
    </row>
    <row r="40" spans="1:16" ht="12.75" customHeight="1" x14ac:dyDescent="0.2">
      <c r="A40" s="19" t="str">
        <f t="shared" si="0"/>
        <v> AOEB 10 </v>
      </c>
      <c r="B40" s="8" t="str">
        <f t="shared" si="1"/>
        <v>I</v>
      </c>
      <c r="C40" s="19">
        <f t="shared" si="2"/>
        <v>51896.341699999997</v>
      </c>
      <c r="D40" t="str">
        <f t="shared" si="3"/>
        <v>vis</v>
      </c>
      <c r="E40">
        <f>VLOOKUP(C40,Active!C$21:E$968,3,FALSE)</f>
        <v>16455.355673107315</v>
      </c>
      <c r="F40" s="8" t="s">
        <v>55</v>
      </c>
      <c r="G40" t="str">
        <f t="shared" si="4"/>
        <v>51896.3417</v>
      </c>
      <c r="H40" s="19">
        <f t="shared" si="5"/>
        <v>7200</v>
      </c>
      <c r="I40" s="28" t="s">
        <v>207</v>
      </c>
      <c r="J40" s="29" t="s">
        <v>208</v>
      </c>
      <c r="K40" s="28">
        <v>7200</v>
      </c>
      <c r="L40" s="28" t="s">
        <v>209</v>
      </c>
      <c r="M40" s="29" t="s">
        <v>77</v>
      </c>
      <c r="N40" s="29" t="s">
        <v>126</v>
      </c>
      <c r="O40" s="30" t="s">
        <v>142</v>
      </c>
      <c r="P40" s="30" t="s">
        <v>199</v>
      </c>
    </row>
    <row r="41" spans="1:16" ht="12.75" customHeight="1" x14ac:dyDescent="0.2">
      <c r="A41" s="19" t="str">
        <f t="shared" si="0"/>
        <v> BBS 124 </v>
      </c>
      <c r="B41" s="8" t="str">
        <f t="shared" si="1"/>
        <v>I</v>
      </c>
      <c r="C41" s="19">
        <f t="shared" si="2"/>
        <v>51926.294999999998</v>
      </c>
      <c r="D41" t="str">
        <f t="shared" si="3"/>
        <v>vis</v>
      </c>
      <c r="E41">
        <f>VLOOKUP(C41,Active!C$21:E$968,3,FALSE)</f>
        <v>16473.851521837478</v>
      </c>
      <c r="F41" s="8" t="s">
        <v>55</v>
      </c>
      <c r="G41" t="str">
        <f t="shared" si="4"/>
        <v>51926.2950</v>
      </c>
      <c r="H41" s="19">
        <f t="shared" si="5"/>
        <v>7208</v>
      </c>
      <c r="I41" s="28" t="s">
        <v>210</v>
      </c>
      <c r="J41" s="29" t="s">
        <v>211</v>
      </c>
      <c r="K41" s="28">
        <v>7208</v>
      </c>
      <c r="L41" s="28" t="s">
        <v>212</v>
      </c>
      <c r="M41" s="29" t="s">
        <v>60</v>
      </c>
      <c r="N41" s="29" t="s">
        <v>61</v>
      </c>
      <c r="O41" s="30" t="s">
        <v>147</v>
      </c>
      <c r="P41" s="30" t="s">
        <v>213</v>
      </c>
    </row>
    <row r="42" spans="1:16" ht="12.75" customHeight="1" x14ac:dyDescent="0.2">
      <c r="A42" s="19" t="str">
        <f t="shared" si="0"/>
        <v>BAVM 152 </v>
      </c>
      <c r="B42" s="8" t="str">
        <f t="shared" si="1"/>
        <v>I</v>
      </c>
      <c r="C42" s="19">
        <f t="shared" si="2"/>
        <v>52279.335200000001</v>
      </c>
      <c r="D42" t="str">
        <f t="shared" si="3"/>
        <v>vis</v>
      </c>
      <c r="E42">
        <f>VLOOKUP(C42,Active!C$21:E$968,3,FALSE)</f>
        <v>16691.850144188476</v>
      </c>
      <c r="F42" s="8" t="s">
        <v>55</v>
      </c>
      <c r="G42" t="str">
        <f t="shared" si="4"/>
        <v>52279.3352</v>
      </c>
      <c r="H42" s="19">
        <f t="shared" si="5"/>
        <v>7303</v>
      </c>
      <c r="I42" s="28" t="s">
        <v>214</v>
      </c>
      <c r="J42" s="29" t="s">
        <v>215</v>
      </c>
      <c r="K42" s="28">
        <v>7303</v>
      </c>
      <c r="L42" s="28" t="s">
        <v>216</v>
      </c>
      <c r="M42" s="29" t="s">
        <v>60</v>
      </c>
      <c r="N42" s="29" t="s">
        <v>108</v>
      </c>
      <c r="O42" s="30" t="s">
        <v>72</v>
      </c>
      <c r="P42" s="31" t="s">
        <v>73</v>
      </c>
    </row>
    <row r="43" spans="1:16" ht="12.75" customHeight="1" x14ac:dyDescent="0.2">
      <c r="A43" s="19" t="str">
        <f t="shared" si="0"/>
        <v> AOEB 10 </v>
      </c>
      <c r="B43" s="8" t="str">
        <f t="shared" si="1"/>
        <v>II</v>
      </c>
      <c r="C43" s="19">
        <f t="shared" si="2"/>
        <v>52350.592100000002</v>
      </c>
      <c r="D43" t="str">
        <f t="shared" si="3"/>
        <v>vis</v>
      </c>
      <c r="E43">
        <f>VLOOKUP(C43,Active!C$21:E$968,3,FALSE)</f>
        <v>16735.850532906257</v>
      </c>
      <c r="F43" s="8" t="s">
        <v>55</v>
      </c>
      <c r="G43" t="str">
        <f t="shared" si="4"/>
        <v>52350.5921</v>
      </c>
      <c r="H43" s="19">
        <f t="shared" si="5"/>
        <v>7322.5</v>
      </c>
      <c r="I43" s="28" t="s">
        <v>217</v>
      </c>
      <c r="J43" s="29" t="s">
        <v>218</v>
      </c>
      <c r="K43" s="28" t="s">
        <v>219</v>
      </c>
      <c r="L43" s="28" t="s">
        <v>220</v>
      </c>
      <c r="M43" s="29" t="s">
        <v>77</v>
      </c>
      <c r="N43" s="29" t="s">
        <v>126</v>
      </c>
      <c r="O43" s="30" t="s">
        <v>142</v>
      </c>
      <c r="P43" s="30" t="s">
        <v>199</v>
      </c>
    </row>
    <row r="44" spans="1:16" ht="12.75" customHeight="1" x14ac:dyDescent="0.2">
      <c r="A44" s="19" t="str">
        <f t="shared" si="0"/>
        <v> AOEB 10 </v>
      </c>
      <c r="B44" s="8" t="str">
        <f t="shared" si="1"/>
        <v>II</v>
      </c>
      <c r="C44" s="19">
        <f t="shared" si="2"/>
        <v>52609.7039</v>
      </c>
      <c r="D44" t="str">
        <f t="shared" si="3"/>
        <v>vis</v>
      </c>
      <c r="E44">
        <f>VLOOKUP(C44,Active!C$21:E$968,3,FALSE)</f>
        <v>16895.84935296949</v>
      </c>
      <c r="F44" s="8" t="s">
        <v>55</v>
      </c>
      <c r="G44" t="str">
        <f t="shared" si="4"/>
        <v>52609.7039</v>
      </c>
      <c r="H44" s="19">
        <f t="shared" si="5"/>
        <v>7392.5</v>
      </c>
      <c r="I44" s="28" t="s">
        <v>221</v>
      </c>
      <c r="J44" s="29" t="s">
        <v>222</v>
      </c>
      <c r="K44" s="28" t="s">
        <v>223</v>
      </c>
      <c r="L44" s="28" t="s">
        <v>224</v>
      </c>
      <c r="M44" s="29" t="s">
        <v>77</v>
      </c>
      <c r="N44" s="29" t="s">
        <v>126</v>
      </c>
      <c r="O44" s="30" t="s">
        <v>142</v>
      </c>
      <c r="P44" s="30" t="s">
        <v>199</v>
      </c>
    </row>
    <row r="45" spans="1:16" ht="12.75" customHeight="1" x14ac:dyDescent="0.2">
      <c r="A45" s="19" t="str">
        <f t="shared" si="0"/>
        <v> AOEB 10 </v>
      </c>
      <c r="B45" s="8" t="str">
        <f t="shared" si="1"/>
        <v>I</v>
      </c>
      <c r="C45" s="19">
        <f t="shared" si="2"/>
        <v>52651.81</v>
      </c>
      <c r="D45" t="str">
        <f t="shared" si="3"/>
        <v>vis</v>
      </c>
      <c r="E45">
        <f>VLOOKUP(C45,Active!C$21:E$968,3,FALSE)</f>
        <v>16921.849428293979</v>
      </c>
      <c r="F45" s="8" t="s">
        <v>55</v>
      </c>
      <c r="G45" t="str">
        <f t="shared" si="4"/>
        <v>52651.8100</v>
      </c>
      <c r="H45" s="19">
        <f t="shared" si="5"/>
        <v>7404</v>
      </c>
      <c r="I45" s="28" t="s">
        <v>225</v>
      </c>
      <c r="J45" s="29" t="s">
        <v>226</v>
      </c>
      <c r="K45" s="28" t="s">
        <v>227</v>
      </c>
      <c r="L45" s="28" t="s">
        <v>228</v>
      </c>
      <c r="M45" s="29" t="s">
        <v>77</v>
      </c>
      <c r="N45" s="29" t="s">
        <v>126</v>
      </c>
      <c r="O45" s="30" t="s">
        <v>142</v>
      </c>
      <c r="P45" s="30" t="s">
        <v>199</v>
      </c>
    </row>
    <row r="46" spans="1:16" ht="12.75" customHeight="1" x14ac:dyDescent="0.2">
      <c r="A46" s="19" t="str">
        <f t="shared" si="0"/>
        <v> AOEB 10 </v>
      </c>
      <c r="B46" s="8" t="str">
        <f t="shared" si="1"/>
        <v>II</v>
      </c>
      <c r="C46" s="19">
        <f t="shared" si="2"/>
        <v>52669.623699999996</v>
      </c>
      <c r="D46" t="str">
        <f t="shared" si="3"/>
        <v>vis</v>
      </c>
      <c r="E46">
        <f>VLOOKUP(C46,Active!C$21:E$968,3,FALSE)</f>
        <v>16932.849201291428</v>
      </c>
      <c r="F46" s="8" t="s">
        <v>55</v>
      </c>
      <c r="G46" t="str">
        <f t="shared" si="4"/>
        <v>52669.6237</v>
      </c>
      <c r="H46" s="19">
        <f t="shared" si="5"/>
        <v>7408.5</v>
      </c>
      <c r="I46" s="28" t="s">
        <v>229</v>
      </c>
      <c r="J46" s="29" t="s">
        <v>230</v>
      </c>
      <c r="K46" s="28" t="s">
        <v>231</v>
      </c>
      <c r="L46" s="28" t="s">
        <v>232</v>
      </c>
      <c r="M46" s="29" t="s">
        <v>77</v>
      </c>
      <c r="N46" s="29" t="s">
        <v>126</v>
      </c>
      <c r="O46" s="30" t="s">
        <v>142</v>
      </c>
      <c r="P46" s="30" t="s">
        <v>199</v>
      </c>
    </row>
    <row r="47" spans="1:16" ht="12.75" customHeight="1" x14ac:dyDescent="0.2">
      <c r="A47" s="19" t="str">
        <f t="shared" si="0"/>
        <v> AOEB 10 </v>
      </c>
      <c r="B47" s="8" t="str">
        <f t="shared" si="1"/>
        <v>II</v>
      </c>
      <c r="C47" s="19">
        <f t="shared" si="2"/>
        <v>53035.618399999999</v>
      </c>
      <c r="D47" t="str">
        <f t="shared" si="3"/>
        <v>vis</v>
      </c>
      <c r="E47">
        <f>VLOOKUP(C47,Active!C$21:E$968,3,FALSE)</f>
        <v>17158.847091582014</v>
      </c>
      <c r="F47" s="8" t="s">
        <v>55</v>
      </c>
      <c r="G47" t="str">
        <f t="shared" si="4"/>
        <v>53035.6184</v>
      </c>
      <c r="H47" s="19">
        <f t="shared" si="5"/>
        <v>7507.5</v>
      </c>
      <c r="I47" s="28" t="s">
        <v>233</v>
      </c>
      <c r="J47" s="29" t="s">
        <v>234</v>
      </c>
      <c r="K47" s="28" t="s">
        <v>235</v>
      </c>
      <c r="L47" s="28" t="s">
        <v>236</v>
      </c>
      <c r="M47" s="29" t="s">
        <v>77</v>
      </c>
      <c r="N47" s="29" t="s">
        <v>126</v>
      </c>
      <c r="O47" s="30" t="s">
        <v>142</v>
      </c>
      <c r="P47" s="30" t="s">
        <v>199</v>
      </c>
    </row>
    <row r="48" spans="1:16" ht="12.75" customHeight="1" x14ac:dyDescent="0.2">
      <c r="A48" s="19" t="str">
        <f t="shared" si="0"/>
        <v> AOEB 10 </v>
      </c>
      <c r="B48" s="8" t="str">
        <f t="shared" si="1"/>
        <v>II</v>
      </c>
      <c r="C48" s="19">
        <f t="shared" si="2"/>
        <v>53323.880400000002</v>
      </c>
      <c r="D48" t="str">
        <f t="shared" si="3"/>
        <v>vis</v>
      </c>
      <c r="E48">
        <f>VLOOKUP(C48,Active!C$21:E$968,3,FALSE)</f>
        <v>17336.84585454483</v>
      </c>
      <c r="F48" s="8" t="s">
        <v>55</v>
      </c>
      <c r="G48" t="str">
        <f t="shared" si="4"/>
        <v>53323.8804</v>
      </c>
      <c r="H48" s="19">
        <f t="shared" si="5"/>
        <v>7585.5</v>
      </c>
      <c r="I48" s="28" t="s">
        <v>237</v>
      </c>
      <c r="J48" s="29" t="s">
        <v>238</v>
      </c>
      <c r="K48" s="28" t="s">
        <v>239</v>
      </c>
      <c r="L48" s="28" t="s">
        <v>240</v>
      </c>
      <c r="M48" s="29" t="s">
        <v>77</v>
      </c>
      <c r="N48" s="29" t="s">
        <v>126</v>
      </c>
      <c r="O48" s="30" t="s">
        <v>142</v>
      </c>
      <c r="P48" s="30" t="s">
        <v>199</v>
      </c>
    </row>
    <row r="49" spans="1:16" ht="12.75" customHeight="1" x14ac:dyDescent="0.2">
      <c r="A49" s="19" t="str">
        <f t="shared" si="0"/>
        <v> AOEB 10 </v>
      </c>
      <c r="B49" s="8" t="str">
        <f t="shared" si="1"/>
        <v>I</v>
      </c>
      <c r="C49" s="19">
        <f t="shared" si="2"/>
        <v>53413.752200000003</v>
      </c>
      <c r="D49" t="str">
        <f t="shared" si="3"/>
        <v>vis</v>
      </c>
      <c r="E49">
        <f>VLOOKUP(C49,Active!C$21:E$968,3,FALSE)</f>
        <v>17392.340748860559</v>
      </c>
      <c r="F49" s="8" t="s">
        <v>55</v>
      </c>
      <c r="G49" t="str">
        <f t="shared" si="4"/>
        <v>53413.7522</v>
      </c>
      <c r="H49" s="19">
        <f t="shared" si="5"/>
        <v>7610</v>
      </c>
      <c r="I49" s="28" t="s">
        <v>241</v>
      </c>
      <c r="J49" s="29" t="s">
        <v>242</v>
      </c>
      <c r="K49" s="28" t="s">
        <v>243</v>
      </c>
      <c r="L49" s="28" t="s">
        <v>244</v>
      </c>
      <c r="M49" s="29" t="s">
        <v>77</v>
      </c>
      <c r="N49" s="29" t="s">
        <v>126</v>
      </c>
      <c r="O49" s="30" t="s">
        <v>142</v>
      </c>
      <c r="P49" s="30" t="s">
        <v>199</v>
      </c>
    </row>
    <row r="50" spans="1:16" ht="12.75" customHeight="1" x14ac:dyDescent="0.2">
      <c r="A50" s="19" t="str">
        <f t="shared" si="0"/>
        <v> AOEB 10 </v>
      </c>
      <c r="B50" s="8" t="str">
        <f t="shared" si="1"/>
        <v>II</v>
      </c>
      <c r="C50" s="19">
        <f t="shared" si="2"/>
        <v>53435.620999999999</v>
      </c>
      <c r="D50" t="str">
        <f t="shared" si="3"/>
        <v>vis</v>
      </c>
      <c r="E50">
        <f>VLOOKUP(C50,Active!C$21:E$968,3,FALSE)</f>
        <v>17405.844503595767</v>
      </c>
      <c r="F50" s="8" t="s">
        <v>55</v>
      </c>
      <c r="G50" t="str">
        <f t="shared" si="4"/>
        <v>53435.6210</v>
      </c>
      <c r="H50" s="19">
        <f t="shared" si="5"/>
        <v>7615.5</v>
      </c>
      <c r="I50" s="28" t="s">
        <v>245</v>
      </c>
      <c r="J50" s="29" t="s">
        <v>246</v>
      </c>
      <c r="K50" s="28" t="s">
        <v>247</v>
      </c>
      <c r="L50" s="28" t="s">
        <v>248</v>
      </c>
      <c r="M50" s="29" t="s">
        <v>77</v>
      </c>
      <c r="N50" s="29" t="s">
        <v>126</v>
      </c>
      <c r="O50" s="30" t="s">
        <v>142</v>
      </c>
      <c r="P50" s="30" t="s">
        <v>199</v>
      </c>
    </row>
    <row r="51" spans="1:16" ht="12.75" customHeight="1" x14ac:dyDescent="0.2">
      <c r="A51" s="19" t="str">
        <f t="shared" si="0"/>
        <v>IBVS 5741 </v>
      </c>
      <c r="B51" s="8" t="str">
        <f t="shared" si="1"/>
        <v>I</v>
      </c>
      <c r="C51" s="19">
        <f t="shared" si="2"/>
        <v>53445.340600000003</v>
      </c>
      <c r="D51" t="str">
        <f t="shared" si="3"/>
        <v>vis</v>
      </c>
      <c r="E51">
        <f>VLOOKUP(C51,Active!C$21:E$968,3,FALSE)</f>
        <v>17411.84625469891</v>
      </c>
      <c r="F51" s="8" t="s">
        <v>55</v>
      </c>
      <c r="G51" t="str">
        <f t="shared" si="4"/>
        <v>53445.3406</v>
      </c>
      <c r="H51" s="19">
        <f t="shared" si="5"/>
        <v>7618</v>
      </c>
      <c r="I51" s="28" t="s">
        <v>249</v>
      </c>
      <c r="J51" s="29" t="s">
        <v>250</v>
      </c>
      <c r="K51" s="28" t="s">
        <v>251</v>
      </c>
      <c r="L51" s="28" t="s">
        <v>252</v>
      </c>
      <c r="M51" s="29" t="s">
        <v>60</v>
      </c>
      <c r="N51" s="29" t="s">
        <v>61</v>
      </c>
      <c r="O51" s="30" t="s">
        <v>253</v>
      </c>
      <c r="P51" s="31" t="s">
        <v>254</v>
      </c>
    </row>
    <row r="52" spans="1:16" ht="12.75" customHeight="1" x14ac:dyDescent="0.2">
      <c r="A52" s="19" t="str">
        <f t="shared" si="0"/>
        <v>OEJV 0107 </v>
      </c>
      <c r="B52" s="8" t="str">
        <f t="shared" si="1"/>
        <v>II</v>
      </c>
      <c r="C52" s="19">
        <f t="shared" si="2"/>
        <v>53751.414499999999</v>
      </c>
      <c r="D52" t="str">
        <f t="shared" si="3"/>
        <v>vis</v>
      </c>
      <c r="E52" t="e">
        <f>VLOOKUP(C52,Active!C$21:E$968,3,FALSE)</f>
        <v>#N/A</v>
      </c>
      <c r="F52" s="8" t="s">
        <v>55</v>
      </c>
      <c r="G52" t="str">
        <f t="shared" si="4"/>
        <v>53751.4145</v>
      </c>
      <c r="H52" s="19">
        <f t="shared" si="5"/>
        <v>7700.5</v>
      </c>
      <c r="I52" s="28" t="s">
        <v>255</v>
      </c>
      <c r="J52" s="29" t="s">
        <v>256</v>
      </c>
      <c r="K52" s="28" t="s">
        <v>257</v>
      </c>
      <c r="L52" s="28" t="s">
        <v>258</v>
      </c>
      <c r="M52" s="29" t="s">
        <v>77</v>
      </c>
      <c r="N52" s="29" t="s">
        <v>103</v>
      </c>
      <c r="O52" s="30" t="s">
        <v>259</v>
      </c>
      <c r="P52" s="31" t="s">
        <v>260</v>
      </c>
    </row>
    <row r="53" spans="1:16" ht="12.75" customHeight="1" x14ac:dyDescent="0.2">
      <c r="A53" s="19" t="str">
        <f t="shared" si="0"/>
        <v> AOEB 12 </v>
      </c>
      <c r="B53" s="8" t="str">
        <f t="shared" si="1"/>
        <v>I</v>
      </c>
      <c r="C53" s="19">
        <f t="shared" si="2"/>
        <v>54090.700299999997</v>
      </c>
      <c r="D53" t="str">
        <f t="shared" si="3"/>
        <v>vis</v>
      </c>
      <c r="E53">
        <f>VLOOKUP(C53,Active!C$21:E$968,3,FALSE)</f>
        <v>17810.349103725315</v>
      </c>
      <c r="F53" s="8" t="s">
        <v>55</v>
      </c>
      <c r="G53" t="str">
        <f t="shared" si="4"/>
        <v>54090.7003</v>
      </c>
      <c r="H53" s="19">
        <f t="shared" si="5"/>
        <v>7792</v>
      </c>
      <c r="I53" s="28" t="s">
        <v>261</v>
      </c>
      <c r="J53" s="29" t="s">
        <v>262</v>
      </c>
      <c r="K53" s="28" t="s">
        <v>113</v>
      </c>
      <c r="L53" s="28" t="s">
        <v>263</v>
      </c>
      <c r="M53" s="29" t="s">
        <v>77</v>
      </c>
      <c r="N53" s="29" t="s">
        <v>126</v>
      </c>
      <c r="O53" s="30" t="s">
        <v>127</v>
      </c>
      <c r="P53" s="30" t="s">
        <v>264</v>
      </c>
    </row>
    <row r="54" spans="1:16" ht="12.75" customHeight="1" x14ac:dyDescent="0.2">
      <c r="A54" s="19" t="str">
        <f t="shared" si="0"/>
        <v> AOEB 12 </v>
      </c>
      <c r="B54" s="8" t="str">
        <f t="shared" si="1"/>
        <v>I</v>
      </c>
      <c r="C54" s="19">
        <f t="shared" si="2"/>
        <v>54094.737699999998</v>
      </c>
      <c r="D54" t="str">
        <f t="shared" si="3"/>
        <v>vis</v>
      </c>
      <c r="E54">
        <f>VLOOKUP(C54,Active!C$21:E$968,3,FALSE)</f>
        <v>17812.842155898637</v>
      </c>
      <c r="F54" s="8" t="s">
        <v>55</v>
      </c>
      <c r="G54" t="str">
        <f t="shared" si="4"/>
        <v>54094.7377</v>
      </c>
      <c r="H54" s="19">
        <f t="shared" si="5"/>
        <v>7793</v>
      </c>
      <c r="I54" s="28" t="s">
        <v>265</v>
      </c>
      <c r="J54" s="29" t="s">
        <v>266</v>
      </c>
      <c r="K54" s="28" t="s">
        <v>267</v>
      </c>
      <c r="L54" s="28" t="s">
        <v>268</v>
      </c>
      <c r="M54" s="29" t="s">
        <v>77</v>
      </c>
      <c r="N54" s="29" t="s">
        <v>126</v>
      </c>
      <c r="O54" s="30" t="s">
        <v>127</v>
      </c>
      <c r="P54" s="30" t="s">
        <v>264</v>
      </c>
    </row>
    <row r="55" spans="1:16" ht="12.75" customHeight="1" x14ac:dyDescent="0.2">
      <c r="A55" s="19" t="str">
        <f t="shared" si="0"/>
        <v> AOEB 12 </v>
      </c>
      <c r="B55" s="8" t="str">
        <f t="shared" si="1"/>
        <v>II</v>
      </c>
      <c r="C55" s="19">
        <f t="shared" si="2"/>
        <v>54107.694799999997</v>
      </c>
      <c r="D55" t="str">
        <f t="shared" si="3"/>
        <v>vis</v>
      </c>
      <c r="E55">
        <f>VLOOKUP(C55,Active!C$21:E$968,3,FALSE)</f>
        <v>17820.84302931097</v>
      </c>
      <c r="F55" s="8" t="s">
        <v>55</v>
      </c>
      <c r="G55" t="str">
        <f t="shared" si="4"/>
        <v>54107.6948</v>
      </c>
      <c r="H55" s="19">
        <f t="shared" si="5"/>
        <v>7796.5</v>
      </c>
      <c r="I55" s="28" t="s">
        <v>269</v>
      </c>
      <c r="J55" s="29" t="s">
        <v>270</v>
      </c>
      <c r="K55" s="28" t="s">
        <v>271</v>
      </c>
      <c r="L55" s="28" t="s">
        <v>272</v>
      </c>
      <c r="M55" s="29" t="s">
        <v>77</v>
      </c>
      <c r="N55" s="29" t="s">
        <v>126</v>
      </c>
      <c r="O55" s="30" t="s">
        <v>142</v>
      </c>
      <c r="P55" s="30" t="s">
        <v>264</v>
      </c>
    </row>
    <row r="56" spans="1:16" ht="12.75" customHeight="1" x14ac:dyDescent="0.2">
      <c r="A56" s="19" t="str">
        <f t="shared" si="0"/>
        <v>OEJV 0137 </v>
      </c>
      <c r="B56" s="8" t="str">
        <f t="shared" si="1"/>
        <v>II</v>
      </c>
      <c r="C56" s="19">
        <f t="shared" si="2"/>
        <v>55181.389300000003</v>
      </c>
      <c r="D56" t="str">
        <f t="shared" si="3"/>
        <v>vis</v>
      </c>
      <c r="E56" t="e">
        <f>VLOOKUP(C56,Active!C$21:E$968,3,FALSE)</f>
        <v>#N/A</v>
      </c>
      <c r="F56" s="8" t="s">
        <v>55</v>
      </c>
      <c r="G56" t="str">
        <f t="shared" si="4"/>
        <v>55181.3893</v>
      </c>
      <c r="H56" s="19">
        <f t="shared" si="5"/>
        <v>8086.5</v>
      </c>
      <c r="I56" s="28" t="s">
        <v>273</v>
      </c>
      <c r="J56" s="29" t="s">
        <v>274</v>
      </c>
      <c r="K56" s="28" t="s">
        <v>275</v>
      </c>
      <c r="L56" s="28" t="s">
        <v>276</v>
      </c>
      <c r="M56" s="29" t="s">
        <v>77</v>
      </c>
      <c r="N56" s="29" t="s">
        <v>47</v>
      </c>
      <c r="O56" s="30" t="s">
        <v>277</v>
      </c>
      <c r="P56" s="31" t="s">
        <v>278</v>
      </c>
    </row>
    <row r="57" spans="1:16" ht="12.75" customHeight="1" x14ac:dyDescent="0.2">
      <c r="A57" s="19" t="str">
        <f t="shared" si="0"/>
        <v> JAAVSO 41;122 </v>
      </c>
      <c r="B57" s="8" t="str">
        <f t="shared" si="1"/>
        <v>I</v>
      </c>
      <c r="C57" s="19">
        <f t="shared" si="2"/>
        <v>56221.8825</v>
      </c>
      <c r="D57" t="str">
        <f t="shared" si="3"/>
        <v>vis</v>
      </c>
      <c r="E57">
        <f>VLOOKUP(C57,Active!C$21:E$968,3,FALSE)</f>
        <v>19126.331769662425</v>
      </c>
      <c r="F57" s="8" t="s">
        <v>55</v>
      </c>
      <c r="G57" t="str">
        <f t="shared" si="4"/>
        <v>56221.8825</v>
      </c>
      <c r="H57" s="19">
        <f t="shared" si="5"/>
        <v>8367</v>
      </c>
      <c r="I57" s="28" t="s">
        <v>279</v>
      </c>
      <c r="J57" s="29" t="s">
        <v>280</v>
      </c>
      <c r="K57" s="28" t="s">
        <v>281</v>
      </c>
      <c r="L57" s="28" t="s">
        <v>282</v>
      </c>
      <c r="M57" s="29" t="s">
        <v>77</v>
      </c>
      <c r="N57" s="29" t="s">
        <v>55</v>
      </c>
      <c r="O57" s="30" t="s">
        <v>283</v>
      </c>
      <c r="P57" s="30" t="s">
        <v>284</v>
      </c>
    </row>
    <row r="58" spans="1:16" ht="12.75" customHeight="1" x14ac:dyDescent="0.2">
      <c r="A58" s="19" t="str">
        <f t="shared" si="0"/>
        <v> JAAVSO 43-1 </v>
      </c>
      <c r="B58" s="8" t="str">
        <f t="shared" si="1"/>
        <v>II</v>
      </c>
      <c r="C58" s="19">
        <f t="shared" si="2"/>
        <v>56272.899899999997</v>
      </c>
      <c r="D58" t="str">
        <f t="shared" si="3"/>
        <v>vis</v>
      </c>
      <c r="E58">
        <f>VLOOKUP(C58,Active!C$21:E$968,3,FALSE)</f>
        <v>19157.834479313988</v>
      </c>
      <c r="F58" s="8" t="s">
        <v>55</v>
      </c>
      <c r="G58" t="str">
        <f t="shared" si="4"/>
        <v>56272.8999</v>
      </c>
      <c r="H58" s="19">
        <f t="shared" si="5"/>
        <v>8380.5</v>
      </c>
      <c r="I58" s="28" t="s">
        <v>285</v>
      </c>
      <c r="J58" s="29" t="s">
        <v>286</v>
      </c>
      <c r="K58" s="28" t="s">
        <v>287</v>
      </c>
      <c r="L58" s="28" t="s">
        <v>288</v>
      </c>
      <c r="M58" s="29" t="s">
        <v>77</v>
      </c>
      <c r="N58" s="29" t="s">
        <v>55</v>
      </c>
      <c r="O58" s="30" t="s">
        <v>289</v>
      </c>
      <c r="P58" s="30" t="s">
        <v>290</v>
      </c>
    </row>
  </sheetData>
  <sheetProtection selectLockedCells="1" selectUnlockedCells="1"/>
  <hyperlinks>
    <hyperlink ref="P11" r:id="rId1" xr:uid="{00000000-0004-0000-0300-000000000000}"/>
    <hyperlink ref="P12" r:id="rId2" xr:uid="{00000000-0004-0000-0300-000001000000}"/>
    <hyperlink ref="P13" r:id="rId3" xr:uid="{00000000-0004-0000-0300-000002000000}"/>
    <hyperlink ref="P14" r:id="rId4" xr:uid="{00000000-0004-0000-0300-000003000000}"/>
    <hyperlink ref="P15" r:id="rId5" xr:uid="{00000000-0004-0000-0300-000004000000}"/>
    <hyperlink ref="P16" r:id="rId6" xr:uid="{00000000-0004-0000-0300-000005000000}"/>
    <hyperlink ref="P17" r:id="rId7" xr:uid="{00000000-0004-0000-0300-000006000000}"/>
    <hyperlink ref="P18" r:id="rId8" xr:uid="{00000000-0004-0000-0300-000007000000}"/>
    <hyperlink ref="P19" r:id="rId9" xr:uid="{00000000-0004-0000-0300-000008000000}"/>
    <hyperlink ref="P20" r:id="rId10" xr:uid="{00000000-0004-0000-0300-000009000000}"/>
    <hyperlink ref="P21" r:id="rId11" xr:uid="{00000000-0004-0000-0300-00000A000000}"/>
    <hyperlink ref="P22" r:id="rId12" xr:uid="{00000000-0004-0000-0300-00000B000000}"/>
    <hyperlink ref="P23" r:id="rId13" xr:uid="{00000000-0004-0000-0300-00000C000000}"/>
    <hyperlink ref="P24" r:id="rId14" xr:uid="{00000000-0004-0000-0300-00000D000000}"/>
    <hyperlink ref="P25" r:id="rId15" xr:uid="{00000000-0004-0000-0300-00000E000000}"/>
    <hyperlink ref="P26" r:id="rId16" xr:uid="{00000000-0004-0000-0300-00000F000000}"/>
    <hyperlink ref="P27" r:id="rId17" xr:uid="{00000000-0004-0000-0300-000010000000}"/>
    <hyperlink ref="P29" r:id="rId18" xr:uid="{00000000-0004-0000-0300-000011000000}"/>
    <hyperlink ref="P31" r:id="rId19" xr:uid="{00000000-0004-0000-0300-000012000000}"/>
    <hyperlink ref="P34" r:id="rId20" xr:uid="{00000000-0004-0000-0300-000013000000}"/>
    <hyperlink ref="P35" r:id="rId21" xr:uid="{00000000-0004-0000-0300-000014000000}"/>
    <hyperlink ref="P42" r:id="rId22" xr:uid="{00000000-0004-0000-0300-000015000000}"/>
    <hyperlink ref="P51" r:id="rId23" xr:uid="{00000000-0004-0000-0300-000016000000}"/>
    <hyperlink ref="P52" r:id="rId24" xr:uid="{00000000-0004-0000-0300-000017000000}"/>
    <hyperlink ref="P56" r:id="rId25" xr:uid="{00000000-0004-0000-0300-00001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2022-03-30T04:36:45Z</dcterms:created>
  <dcterms:modified xsi:type="dcterms:W3CDTF">2023-08-06T07:59:01Z</dcterms:modified>
</cp:coreProperties>
</file>