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D078E5-5C7A-48A4-930E-8B00AD45EC23}" xr6:coauthVersionLast="47" xr6:coauthVersionMax="47" xr10:uidLastSave="{00000000-0000-0000-0000-000000000000}"/>
  <bookViews>
    <workbookView xWindow="13695" yWindow="330" windowWidth="1450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F2" i="1"/>
  <c r="C9" i="1"/>
  <c r="D9" i="1"/>
  <c r="F16" i="1"/>
  <c r="A21" i="1"/>
  <c r="C21" i="1"/>
  <c r="C17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Q21" i="1"/>
  <c r="E21" i="1"/>
  <c r="F21" i="1"/>
  <c r="G21" i="1"/>
  <c r="I21" i="1"/>
  <c r="C12" i="1"/>
  <c r="C11" i="1"/>
  <c r="O27" i="1" l="1"/>
  <c r="S27" i="1" s="1"/>
  <c r="O25" i="1"/>
  <c r="S25" i="1" s="1"/>
  <c r="C15" i="1"/>
  <c r="O24" i="1"/>
  <c r="S24" i="1" s="1"/>
  <c r="O21" i="1"/>
  <c r="S21" i="1" s="1"/>
  <c r="O23" i="1"/>
  <c r="S23" i="1" s="1"/>
  <c r="O26" i="1"/>
  <c r="S26" i="1" s="1"/>
  <c r="O22" i="1"/>
  <c r="S22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<sst xmlns="http://schemas.openxmlformats.org/spreadsheetml/2006/main" count="64" uniqueCount="57">
  <si>
    <t>V2820 Ori / GSC 0128-0980</t>
  </si>
  <si>
    <t>G0128-0980_Ori.xls</t>
  </si>
  <si>
    <t>System Type:</t>
  </si>
  <si>
    <t>EC</t>
  </si>
  <si>
    <t>Constell:</t>
  </si>
  <si>
    <t>Ori</t>
  </si>
  <si>
    <t>G0128-0980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</si>
  <si>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</si>
  <si>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</si>
  <si>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</si>
  <si>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</si>
  <si>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</si>
  <si>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</si>
  <si>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</si>
  <si>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</si>
  <si>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</si>
  <si>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</si>
  <si>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</si>
  <si>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</si>
  <si>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</si>
  <si>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</si>
  <si>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</si>
  <si>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</si>
  <si>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</si>
  <si>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</si>
  <si>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</si>
  <si>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</si>
  <si>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</si>
  <si>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</si>
  <si>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</si>
  <si>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</si>
  <si>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</si>
  <si>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</si>
  <si>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</si>
  <si>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</si>
  <si>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</si>
  <si>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</si>
  <si>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</si>
  <si>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</si>
  <si>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</si>
  <si>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</si>
  <si>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</si>
  <si>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</si>
  <si>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</si>
  <si>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</si>
  <si>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</si>
  <si>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</si>
  <si>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</si>
  <si>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</si>
  <si>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</si>
  <si>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</si>
  <si>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6011</t>
  </si>
  <si>
    <t>IBVS 6042</t>
  </si>
  <si>
    <t>RHN 2019</t>
  </si>
  <si>
    <t>VSB 067</t>
  </si>
  <si>
    <t>V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</si>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</sst>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2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</cellStyleXfs>
  <cellXfs count="3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2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6" fontId="0" fillId="0" borderId="0" xfId="0" applyNumberForma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67" fontId="11" fillId="0" borderId="0" xfId="0" applyNumberFormat="1" applyFont="1" applyAlignment="1" applyProtection="1">
      <alignment vertical="center" wrapText="1"/>
      <protection locked="0"/>
    </xf>
  </cellXfs>
  <cellStyles count="5">
    <cellStyle name="Comma0" xfId="1"/>
    <cellStyle name="Currency0" xfId="2"/>
    <cellStyle name="Date" xfId="3"/>
    <cellStyle name="Fixed" xf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V2820 Ori - O-C Diagr.</a:t>
            </a:r>
          </a:p>
        </c:rich>
      </c:tx>
      <c:layout>
        <c:manualLayout>
          <c:xMode val="edge"/>
          <c:yMode val="edge"/>
          <c:x val="0.364865337778723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58592076342"/>
          <c:y val="0.22822889753688513"/>
          <c:w val="0.80630748860308832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Active!$H$21:$H$26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F5-48AA-B14D-D59E731F5E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Active!$I$21:$I$26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5-48AA-B14D-D59E731F5E2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Active!$J$21:$J$26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F5-48AA-B14D-D59E731F5E2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Active!$K$21:$K$26</c:f>
              <c:numCache>
                <c:formatCode>General</c:formatCode>
                <c:ptCount val="6"/>
                <c:pt idx="1">
                  <c:v>-1.0400000028312206E-3</c:v>
                </c:pt>
                <c:pt idx="2">
                  <c:v>-1.0800000018207356E-3</c:v>
                </c:pt>
                <c:pt idx="3">
                  <c:v>-4.1800000035436824E-3</c:v>
                </c:pt>
                <c:pt idx="4">
                  <c:v>-7.1200000020326115E-3</c:v>
                </c:pt>
                <c:pt idx="5">
                  <c:v>-6.260000001930166E-3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F5-48AA-B14D-D59E731F5E2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F5-48AA-B14D-D59E731F5E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F5-48AA-B14D-D59E731F5E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F5-48AA-B14D-D59E731F5E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Active!$O$21:$O$26</c:f>
              <c:numCache>
                <c:formatCode>General</c:formatCode>
                <c:ptCount val="6"/>
                <c:pt idx="0">
                  <c:v>3.112702605767249E-4</c:v>
                </c:pt>
                <c:pt idx="1">
                  <c:v>-1.4160570701589117E-3</c:v>
                </c:pt>
                <c:pt idx="2">
                  <c:v>-2.0897059117525956E-3</c:v>
                </c:pt>
                <c:pt idx="3">
                  <c:v>-2.7598277960604483E-3</c:v>
                </c:pt>
                <c:pt idx="4">
                  <c:v>-7.3395818317117485E-3</c:v>
                </c:pt>
                <c:pt idx="5">
                  <c:v>-7.3739696652485986E-3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F5-48AA-B14D-D59E731F5E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1959</c:v>
                </c:pt>
                <c:pt idx="2">
                  <c:v>2723</c:v>
                </c:pt>
                <c:pt idx="3">
                  <c:v>3483</c:v>
                </c:pt>
                <c:pt idx="4">
                  <c:v>8677</c:v>
                </c:pt>
                <c:pt idx="5">
                  <c:v>8716</c:v>
                </c:pt>
              </c:numCache>
            </c:numRef>
          </c:xVal>
          <c:yVal>
            <c:numRef>
              <c:f>Active!$U$21:$U$26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F5-48AA-B14D-D59E731F5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51184"/>
        <c:axId val="1"/>
      </c:scatterChart>
      <c:valAx>
        <c:axId val="689051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051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97011972602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AD9BAE-71A4-ADA4-8952-12E71BBC0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C2" s="3" t="s">
        <v>4</v>
      </c>
      <c r="D2" s="4" t="s">
        <v>5</v>
      </c>
      <c r="E2" s="5" t="s">
        <v>6</v>
      </c>
      <c r="F2" s="1" t="e">
        <f>NA()</f>
        <v>#N/A</v>
      </c>
    </row>
    <row r="4" spans="1:6" x14ac:dyDescent="0.2">
      <c r="A4" s="6" t="s">
        <v>7</v>
      </c>
      <c r="C4" s="7" t="s">
        <v>8</v>
      </c>
      <c r="D4" s="8" t="s">
        <v>8</v>
      </c>
    </row>
    <row r="5" spans="1:6" x14ac:dyDescent="0.2">
      <c r="A5" s="9" t="s">
        <v>9</v>
      </c>
      <c r="B5"/>
      <c r="C5" s="10">
        <v>-9.5</v>
      </c>
      <c r="D5" t="s">
        <v>10</v>
      </c>
      <c r="E5"/>
    </row>
    <row r="6" spans="1:6" x14ac:dyDescent="0.2">
      <c r="A6" s="6" t="s">
        <v>11</v>
      </c>
    </row>
    <row r="7" spans="1:6" x14ac:dyDescent="0.2">
      <c r="A7" s="1" t="s">
        <v>12</v>
      </c>
      <c r="C7" s="11">
        <v>54556.538</v>
      </c>
      <c r="D7" s="12" t="s">
        <v>13</v>
      </c>
    </row>
    <row r="8" spans="1:6" x14ac:dyDescent="0.2">
      <c r="A8" s="1" t="s">
        <v>14</v>
      </c>
      <c r="C8" s="11">
        <v>0.49075999999999997</v>
      </c>
      <c r="D8" s="12" t="s">
        <v>13</v>
      </c>
    </row>
    <row r="9" spans="1:6" x14ac:dyDescent="0.2">
      <c r="A9" s="13" t="s">
        <v>15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x14ac:dyDescent="0.2">
      <c r="A10"/>
      <c r="B10"/>
      <c r="C10" s="17" t="s">
        <v>16</v>
      </c>
      <c r="D10" s="17" t="s">
        <v>17</v>
      </c>
      <c r="E10"/>
    </row>
    <row r="11" spans="1:6" x14ac:dyDescent="0.2">
      <c r="A11" t="s">
        <v>18</v>
      </c>
      <c r="B11"/>
      <c r="C11" s="18">
        <f ca="1">INTERCEPT(INDIRECT($D$9):G991,INDIRECT($C$9):F991)</f>
        <v>3.112702605767249E-4</v>
      </c>
      <c r="D11" s="4"/>
      <c r="E11"/>
    </row>
    <row r="12" spans="1:6" x14ac:dyDescent="0.2">
      <c r="A12" t="s">
        <v>19</v>
      </c>
      <c r="B12"/>
      <c r="C12" s="18">
        <f ca="1">SLOPE(INDIRECT($D$9):G991,INDIRECT($C$9):F991)</f>
        <v>-8.8173932145770122E-7</v>
      </c>
      <c r="D12" s="4"/>
      <c r="E12"/>
    </row>
    <row r="13" spans="1:6" x14ac:dyDescent="0.2">
      <c r="A13" t="s">
        <v>20</v>
      </c>
      <c r="B13"/>
      <c r="C13" s="4" t="s">
        <v>21</v>
      </c>
    </row>
    <row r="14" spans="1:6" x14ac:dyDescent="0.2">
      <c r="A14"/>
      <c r="B14"/>
      <c r="C14"/>
    </row>
    <row r="15" spans="1:6" x14ac:dyDescent="0.2">
      <c r="A15" s="19" t="s">
        <v>22</v>
      </c>
      <c r="B15"/>
      <c r="C15" s="20">
        <f ca="1">(C7+C11)+(C8+C12)*INT(MAX(F21:F3532))</f>
        <v>59601.051287871778</v>
      </c>
      <c r="E15" s="21" t="s">
        <v>23</v>
      </c>
      <c r="F15" s="10">
        <v>1</v>
      </c>
    </row>
    <row r="16" spans="1:6" x14ac:dyDescent="0.2">
      <c r="A16" s="19" t="s">
        <v>24</v>
      </c>
      <c r="B16"/>
      <c r="C16" s="20">
        <f ca="1">+C8+C12</f>
        <v>0.49075911826067853</v>
      </c>
      <c r="E16" s="21" t="s">
        <v>25</v>
      </c>
      <c r="F16" s="18">
        <f ca="1">NOW()+15018.5+$C$5/24</f>
        <v>60178.779054050923</v>
      </c>
    </row>
    <row r="17" spans="1:21" x14ac:dyDescent="0.2">
      <c r="A17" s="21" t="s">
        <v>26</v>
      </c>
      <c r="B17"/>
      <c r="C17">
        <f>COUNT(C21:C2190)</f>
        <v>7</v>
      </c>
      <c r="E17" s="21" t="s">
        <v>27</v>
      </c>
      <c r="F17" s="18">
        <f ca="1">ROUND(2*(F16-$C$7)/$C$8,0)/2+F15</f>
        <v>11457</v>
      </c>
    </row>
    <row r="18" spans="1:21" x14ac:dyDescent="0.2">
      <c r="A18" s="19" t="s">
        <v>28</v>
      </c>
      <c r="B18"/>
      <c r="C18" s="22">
        <f ca="1">+C15</f>
        <v>59601.051287871778</v>
      </c>
      <c r="D18" s="23">
        <f ca="1">+C16</f>
        <v>0.49075911826067853</v>
      </c>
      <c r="E18" s="21" t="s">
        <v>29</v>
      </c>
      <c r="F18" s="16">
        <f ca="1">ROUND(2*(F16-$C$15)/$C$16,0)/2+F15</f>
        <v>1178</v>
      </c>
    </row>
    <row r="19" spans="1:21" x14ac:dyDescent="0.2">
      <c r="E19" s="21" t="s">
        <v>30</v>
      </c>
      <c r="F19" s="24">
        <f ca="1">+$C$15+$C$16*F18-15018.5-$C$5/24</f>
        <v>45161.061362516193</v>
      </c>
      <c r="S19" s="1">
        <f ca="1">SQRT(SUM(S21:S49)/(COUNT(S21:S49)-1))</f>
        <v>9.6087970977205611E-4</v>
      </c>
    </row>
    <row r="20" spans="1:21" x14ac:dyDescent="0.2">
      <c r="A20" s="17" t="s">
        <v>31</v>
      </c>
      <c r="B20" s="17" t="s">
        <v>32</v>
      </c>
      <c r="C20" s="17" t="s">
        <v>33</v>
      </c>
      <c r="D20" s="17" t="s">
        <v>34</v>
      </c>
      <c r="E20" s="17" t="s">
        <v>35</v>
      </c>
      <c r="F20" s="17" t="s">
        <v>36</v>
      </c>
      <c r="G20" s="17" t="s">
        <v>37</v>
      </c>
      <c r="H20" s="25" t="s">
        <v>38</v>
      </c>
      <c r="I20" s="25" t="s">
        <v>39</v>
      </c>
      <c r="J20" s="25" t="s">
        <v>40</v>
      </c>
      <c r="K20" s="25" t="s">
        <v>41</v>
      </c>
      <c r="L20" s="25" t="s">
        <v>42</v>
      </c>
      <c r="M20" s="25" t="s">
        <v>43</v>
      </c>
      <c r="N20" s="25" t="s">
        <v>44</v>
      </c>
      <c r="O20" s="25" t="s">
        <v>45</v>
      </c>
      <c r="P20" s="25" t="s">
        <v>46</v>
      </c>
      <c r="Q20" s="17" t="s">
        <v>47</v>
      </c>
      <c r="U20" s="26" t="s">
        <v>48</v>
      </c>
    </row>
    <row r="21" spans="1:21" x14ac:dyDescent="0.2">
      <c r="A21" s="1" t="str">
        <f>D7</f>
        <v>VSX</v>
      </c>
      <c r="C21" s="11">
        <f>C$7</f>
        <v>54556.538</v>
      </c>
      <c r="D21" s="11" t="s">
        <v>21</v>
      </c>
      <c r="E21" s="1">
        <f t="shared" ref="E21:E26" si="0">+(C21-C$7)/C$8</f>
        <v>0</v>
      </c>
      <c r="F21" s="1">
        <f t="shared" ref="F21:F26" si="1">ROUND(2*E21,0)/2</f>
        <v>0</v>
      </c>
      <c r="G21" s="1">
        <f t="shared" ref="G21:G26" si="2">+C21-(C$7+F21*C$8)</f>
        <v>0</v>
      </c>
      <c r="I21" s="1">
        <f>+G21</f>
        <v>0</v>
      </c>
      <c r="O21" s="1">
        <f t="shared" ref="O21:O26" ca="1" si="3">+C$11+C$12*$F21</f>
        <v>3.112702605767249E-4</v>
      </c>
      <c r="Q21" s="27">
        <f t="shared" ref="Q21:Q26" si="4">+C21-15018.5</f>
        <v>39538.038</v>
      </c>
      <c r="S21" s="1">
        <f t="shared" ref="S21:S26" ca="1" si="5">+(O21-G21)^2</f>
        <v>9.6889175119502228E-8</v>
      </c>
    </row>
    <row r="22" spans="1:21" x14ac:dyDescent="0.2">
      <c r="A22" s="28" t="s">
        <v>49</v>
      </c>
      <c r="B22" s="29" t="s">
        <v>50</v>
      </c>
      <c r="C22" s="28">
        <v>55517.935799999999</v>
      </c>
      <c r="D22" s="28">
        <v>5.0000000000000001E-4</v>
      </c>
      <c r="E22" s="1">
        <f t="shared" si="0"/>
        <v>1958.9978808378819</v>
      </c>
      <c r="F22" s="1">
        <f t="shared" si="1"/>
        <v>1959</v>
      </c>
      <c r="G22" s="1">
        <f t="shared" si="2"/>
        <v>-1.0400000028312206E-3</v>
      </c>
      <c r="K22" s="1">
        <f>+G22</f>
        <v>-1.0400000028312206E-3</v>
      </c>
      <c r="O22" s="1">
        <f t="shared" ca="1" si="3"/>
        <v>-1.4160570701589117E-3</v>
      </c>
      <c r="Q22" s="27">
        <f t="shared" si="4"/>
        <v>40499.435799999999</v>
      </c>
      <c r="S22" s="1">
        <f t="shared" ca="1" si="5"/>
        <v>1.4141891788710361E-7</v>
      </c>
    </row>
    <row r="23" spans="1:21" x14ac:dyDescent="0.2">
      <c r="A23" s="28" t="s">
        <v>51</v>
      </c>
      <c r="B23" s="29" t="s">
        <v>50</v>
      </c>
      <c r="C23" s="28">
        <v>55892.876400000001</v>
      </c>
      <c r="D23" s="28">
        <v>4.0000000000000002E-4</v>
      </c>
      <c r="E23" s="1">
        <f t="shared" si="0"/>
        <v>2722.9977993316502</v>
      </c>
      <c r="F23" s="1">
        <f t="shared" si="1"/>
        <v>2723</v>
      </c>
      <c r="G23" s="1">
        <f t="shared" si="2"/>
        <v>-1.0800000018207356E-3</v>
      </c>
      <c r="K23" s="1">
        <f>+G23</f>
        <v>-1.0800000018207356E-3</v>
      </c>
      <c r="O23" s="1">
        <f t="shared" ca="1" si="3"/>
        <v>-2.0897059117525956E-3</v>
      </c>
      <c r="Q23" s="27">
        <f t="shared" si="4"/>
        <v>40874.376400000001</v>
      </c>
      <c r="S23" s="1">
        <f t="shared" ca="1" si="5"/>
        <v>1.0195060245513253E-6</v>
      </c>
    </row>
    <row r="24" spans="1:21" x14ac:dyDescent="0.2">
      <c r="A24" s="30" t="s">
        <v>52</v>
      </c>
      <c r="B24" s="31" t="s">
        <v>50</v>
      </c>
      <c r="C24" s="32">
        <v>56265.850899999998</v>
      </c>
      <c r="D24" s="32">
        <v>4.0000000000000002E-4</v>
      </c>
      <c r="E24" s="1">
        <f t="shared" si="0"/>
        <v>3482.9914825984133</v>
      </c>
      <c r="F24" s="1">
        <f t="shared" si="1"/>
        <v>3483</v>
      </c>
      <c r="G24" s="1">
        <f t="shared" si="2"/>
        <v>-4.1800000035436824E-3</v>
      </c>
      <c r="K24" s="1">
        <f>+G24</f>
        <v>-4.1800000035436824E-3</v>
      </c>
      <c r="O24" s="1">
        <f t="shared" ca="1" si="3"/>
        <v>-2.7598277960604483E-3</v>
      </c>
      <c r="Q24" s="27">
        <f t="shared" si="4"/>
        <v>41247.350899999998</v>
      </c>
      <c r="S24" s="1">
        <f t="shared" ca="1" si="5"/>
        <v>2.0168890989078022E-6</v>
      </c>
    </row>
    <row r="25" spans="1:21" x14ac:dyDescent="0.2">
      <c r="A25" s="6" t="s">
        <v>53</v>
      </c>
      <c r="C25" s="11">
        <v>58814.8554</v>
      </c>
      <c r="D25" s="11">
        <v>2.9999999999999997E-4</v>
      </c>
      <c r="E25" s="1">
        <f t="shared" si="0"/>
        <v>8676.9854918901292</v>
      </c>
      <c r="F25" s="1">
        <f t="shared" si="1"/>
        <v>8677</v>
      </c>
      <c r="G25" s="1">
        <f t="shared" si="2"/>
        <v>-7.1200000020326115E-3</v>
      </c>
      <c r="K25" s="1">
        <f>+G25</f>
        <v>-7.1200000020326115E-3</v>
      </c>
      <c r="O25" s="1">
        <f t="shared" ca="1" si="3"/>
        <v>-7.3395818317117485E-3</v>
      </c>
      <c r="Q25" s="27">
        <f t="shared" si="4"/>
        <v>43796.3554</v>
      </c>
      <c r="S25" s="1">
        <f t="shared" ca="1" si="5"/>
        <v>4.8216179925237515E-8</v>
      </c>
    </row>
    <row r="26" spans="1:21" x14ac:dyDescent="0.2">
      <c r="A26" s="33" t="s">
        <v>54</v>
      </c>
      <c r="B26" s="31" t="s">
        <v>50</v>
      </c>
      <c r="C26" s="32">
        <v>58833.995900000002</v>
      </c>
      <c r="D26" s="32" t="s">
        <v>55</v>
      </c>
      <c r="E26" s="1">
        <f t="shared" si="0"/>
        <v>8715.9872442741907</v>
      </c>
      <c r="F26" s="1">
        <f t="shared" si="1"/>
        <v>8716</v>
      </c>
      <c r="G26" s="1">
        <f t="shared" si="2"/>
        <v>-6.260000001930166E-3</v>
      </c>
      <c r="K26" s="1">
        <f>+G26</f>
        <v>-6.260000001930166E-3</v>
      </c>
      <c r="O26" s="1">
        <f t="shared" ca="1" si="3"/>
        <v>-7.3739696652485986E-3</v>
      </c>
      <c r="Q26" s="27">
        <f t="shared" si="4"/>
        <v>43815.495900000002</v>
      </c>
      <c r="S26" s="1">
        <f t="shared" ca="1" si="5"/>
        <v>1.2409284107937819E-6</v>
      </c>
    </row>
    <row r="27" spans="1:21" x14ac:dyDescent="0.2">
      <c r="A27" s="34" t="s">
        <v>56</v>
      </c>
      <c r="B27" s="35" t="s">
        <v>50</v>
      </c>
      <c r="C27" s="36">
        <v>59601.05029999977</v>
      </c>
      <c r="E27" s="1">
        <f t="shared" ref="E27" si="6">+(C27-C$7)/C$8</f>
        <v>10278.980153231252</v>
      </c>
      <c r="F27" s="1">
        <f t="shared" ref="F27" si="7">ROUND(2*E27,0)/2</f>
        <v>10279</v>
      </c>
      <c r="G27" s="1">
        <f t="shared" ref="G27" si="8">+C27-(C$7+F27*C$8)</f>
        <v>-9.740000226884149E-3</v>
      </c>
      <c r="K27" s="1">
        <f>+G27</f>
        <v>-9.740000226884149E-3</v>
      </c>
      <c r="O27" s="1">
        <f t="shared" ref="O27" ca="1" si="9">+C$11+C$12*$F27</f>
        <v>-8.7521282246869857E-3</v>
      </c>
      <c r="Q27" s="27">
        <f t="shared" ref="Q27" si="10">+C27-15018.5</f>
        <v>44582.55029999977</v>
      </c>
      <c r="S27" s="1">
        <f t="shared" ref="S27" ca="1" si="11">+(O27-G27)^2</f>
        <v>9.7589109272503239E-7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2023-08-22T06:41:50Z</dcterms:created>
  <dcterms:modified xsi:type="dcterms:W3CDTF">2023-08-22T06:41:50Z</dcterms:modified>
</cp:coreProperties>
</file>