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6050EA-8CB6-46B4-A518-72AECA88F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34" i="1"/>
  <c r="F34" i="1" s="1"/>
  <c r="G34" i="1" s="1"/>
  <c r="K34" i="1" s="1"/>
  <c r="Q34" i="1"/>
  <c r="E31" i="1"/>
  <c r="F31" i="1" s="1"/>
  <c r="G31" i="1" s="1"/>
  <c r="K31" i="1" s="1"/>
  <c r="Q31" i="1"/>
  <c r="E32" i="1"/>
  <c r="F32" i="1" s="1"/>
  <c r="G32" i="1" s="1"/>
  <c r="K32" i="1" s="1"/>
  <c r="Q32" i="1"/>
  <c r="Q27" i="1"/>
  <c r="Q28" i="1"/>
  <c r="Q29" i="1"/>
  <c r="Q30" i="1"/>
  <c r="D9" i="1"/>
  <c r="C9" i="1"/>
  <c r="Q24" i="1"/>
  <c r="Q25" i="1"/>
  <c r="Q26" i="1"/>
  <c r="Q22" i="1"/>
  <c r="Q23" i="1"/>
  <c r="C21" i="1"/>
  <c r="R22" i="1" s="1"/>
  <c r="A21" i="1"/>
  <c r="E27" i="1"/>
  <c r="F27" i="1" s="1"/>
  <c r="G27" i="1" s="1"/>
  <c r="K27" i="1" s="1"/>
  <c r="E22" i="1"/>
  <c r="F22" i="1" s="1"/>
  <c r="G22" i="1" s="1"/>
  <c r="K22" i="1" s="1"/>
  <c r="F17" i="1"/>
  <c r="C17" i="1"/>
  <c r="Q21" i="1" l="1"/>
  <c r="E23" i="1"/>
  <c r="F23" i="1" s="1"/>
  <c r="G23" i="1" s="1"/>
  <c r="E29" i="1"/>
  <c r="F29" i="1" s="1"/>
  <c r="G29" i="1" s="1"/>
  <c r="K29" i="1" s="1"/>
  <c r="E24" i="1"/>
  <c r="F24" i="1" s="1"/>
  <c r="G24" i="1" s="1"/>
  <c r="K24" i="1" s="1"/>
  <c r="E25" i="1"/>
  <c r="F25" i="1" s="1"/>
  <c r="G25" i="1" s="1"/>
  <c r="K25" i="1" s="1"/>
  <c r="E28" i="1"/>
  <c r="F28" i="1" s="1"/>
  <c r="G28" i="1" s="1"/>
  <c r="K28" i="1" s="1"/>
  <c r="E21" i="1"/>
  <c r="F21" i="1" s="1"/>
  <c r="G21" i="1" s="1"/>
  <c r="I21" i="1" s="1"/>
  <c r="E26" i="1"/>
  <c r="F26" i="1" s="1"/>
  <c r="G26" i="1" s="1"/>
  <c r="K26" i="1" s="1"/>
  <c r="E30" i="1"/>
  <c r="F30" i="1" s="1"/>
  <c r="G30" i="1" s="1"/>
  <c r="K30" i="1" s="1"/>
  <c r="C12" i="1"/>
  <c r="C11" i="1"/>
  <c r="O33" i="1" l="1"/>
  <c r="O34" i="1"/>
  <c r="O32" i="1"/>
  <c r="O31" i="1"/>
  <c r="C16" i="1"/>
  <c r="D18" i="1" s="1"/>
  <c r="O28" i="1"/>
  <c r="O30" i="1"/>
  <c r="O27" i="1"/>
  <c r="O24" i="1"/>
  <c r="O23" i="1"/>
  <c r="C15" i="1"/>
  <c r="F18" i="1" s="1"/>
  <c r="F19" i="1" s="1"/>
  <c r="O21" i="1"/>
  <c r="O26" i="1"/>
  <c r="O25" i="1"/>
  <c r="O29" i="1"/>
  <c r="O22" i="1"/>
  <c r="K23" i="1"/>
  <c r="C18" i="1" l="1"/>
</calcChain>
</file>

<file path=xl/sharedStrings.xml><?xml version="1.0" encoding="utf-8"?>
<sst xmlns="http://schemas.openxmlformats.org/spreadsheetml/2006/main" count="76" uniqueCount="52">
  <si>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</si>
  <si>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</si>
  <si>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</si>
  <si>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</si>
  <si>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</si>
  <si>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</si>
  <si>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</si>
  <si>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</si>
  <si>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</si>
  <si>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</si>
  <si>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</si>
  <si>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</si>
  <si>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</si>
  <si>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</si>
  <si>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</si>
  <si>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</si>
  <si>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</si>
  <si>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</si>
  <si>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</si>
  <si>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</si>
  <si>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</si>
  <si>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</si>
  <si>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</si>
  <si>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</si>
  <si>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</si>
  <si>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</si>
  <si>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</si>
  <si>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</si>
  <si>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</si>
  <si>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</si>
  <si>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</si>
  <si>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</si>
  <si>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</si>
  <si>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</si>
  <si>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G9067-0173_Pav.xls</t>
  </si>
  <si>
    <t>EW</t>
  </si>
  <si>
    <t>IBVS 5532 Eph.</t>
  </si>
  <si>
    <t>IBVS 5532</t>
  </si>
  <si>
    <t>Pav</t>
  </si>
  <si>
    <t>V0401 Pav / GSC 9067 0173 / NSV 09948</t>
  </si>
  <si>
    <t>I</t>
  </si>
  <si>
    <t>OEJV 0179</t>
  </si>
  <si>
    <t>II</t>
  </si>
  <si>
    <t>pg</t>
  </si>
  <si>
    <t>vis</t>
  </si>
  <si>
    <t>PE</t>
  </si>
  <si>
    <t>CCD</t>
  </si>
  <si>
    <t>JAVSO 49, 251</t>
  </si>
  <si>
    <t>JAVSO, 48, 250</t>
  </si>
  <si>
    <t>RIX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</si>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</sst>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/>
    <xf numFmtId="165" fontId="34" fillId="0" borderId="0" xfId="0" applyNumberFormat="1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Pav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3-48F6-9335-F5B649B61C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3-48F6-9335-F5B649B61C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3-48F6-9335-F5B649B61C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1.23879999955534E-2</c:v>
                </c:pt>
                <c:pt idx="2">
                  <c:v>1.2567999998282176E-2</c:v>
                </c:pt>
                <c:pt idx="3">
                  <c:v>1.1087999999290332E-2</c:v>
                </c:pt>
                <c:pt idx="4">
                  <c:v>1.0712499999499414E-2</c:v>
                </c:pt>
                <c:pt idx="5">
                  <c:v>1.0809499995957594E-2</c:v>
                </c:pt>
                <c:pt idx="6">
                  <c:v>1.1077999814006034E-2</c:v>
                </c:pt>
                <c:pt idx="7">
                  <c:v>1.0852500177861657E-2</c:v>
                </c:pt>
                <c:pt idx="8">
                  <c:v>1.2201999998069368E-2</c:v>
                </c:pt>
                <c:pt idx="9">
                  <c:v>1.1366499995347112E-2</c:v>
                </c:pt>
                <c:pt idx="10">
                  <c:v>1.0594999992463272E-2</c:v>
                </c:pt>
                <c:pt idx="11">
                  <c:v>8.1904998223762959E-3</c:v>
                </c:pt>
                <c:pt idx="12">
                  <c:v>1.1444000148912892E-2</c:v>
                </c:pt>
                <c:pt idx="13">
                  <c:v>1.2339499960944522E-2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3-48F6-9335-F5B649B61C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3-48F6-9335-F5B649B61C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3-48F6-9335-F5B649B61C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3-48F6-9335-F5B649B61C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1.3886803573185766E-2</c:v>
                </c:pt>
                <c:pt idx="1">
                  <c:v>1.1879664673791129E-2</c:v>
                </c:pt>
                <c:pt idx="2">
                  <c:v>1.1879664673791129E-2</c:v>
                </c:pt>
                <c:pt idx="3">
                  <c:v>1.142784359852345E-2</c:v>
                </c:pt>
                <c:pt idx="4">
                  <c:v>1.1427774300812519E-2</c:v>
                </c:pt>
                <c:pt idx="5">
                  <c:v>1.1407955155486361E-2</c:v>
                </c:pt>
                <c:pt idx="6">
                  <c:v>1.1279546497131912E-2</c:v>
                </c:pt>
                <c:pt idx="7">
                  <c:v>1.1279477199420981E-2</c:v>
                </c:pt>
                <c:pt idx="8">
                  <c:v>1.1099926830399731E-2</c:v>
                </c:pt>
                <c:pt idx="9">
                  <c:v>1.10998575326888E-2</c:v>
                </c:pt>
                <c:pt idx="10">
                  <c:v>1.0788502917477499E-2</c:v>
                </c:pt>
                <c:pt idx="11">
                  <c:v>1.0788433619766568E-2</c:v>
                </c:pt>
                <c:pt idx="12">
                  <c:v>1.0637711098492458E-2</c:v>
                </c:pt>
                <c:pt idx="13">
                  <c:v>1.0637641800781528E-2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3-48F6-9335-F5B649B6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8072"/>
        <c:axId val="1"/>
      </c:scatterChart>
      <c:valAx>
        <c:axId val="6823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14AF9A-66E2-553A-C719-9E0C293F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8"/>
  <sheetViews>
    <sheetView tabSelected="1" workbookViewId="0">
      <selection activeCell="C18" sqref="C18:D18"/>
    </sheetView>
  </sheetViews>
  <sheetFormatPr defaultColWidth="10.28515625" defaultRowHeight="12.75"/>
  <cols>
    <col min="1" max="1" width="15.28515625" customWidth="1"/>
    <col min="2" max="2" width="3.8554687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" customWidth="1"/>
  </cols>
  <sheetData>
    <row r="1" spans="1:20" ht="20.25">
      <c r="A1" s="1" t="s">
        <v>39</v>
      </c>
      <c r="E1" s="29"/>
      <c r="F1" s="30"/>
      <c r="G1" s="31" t="s">
        <v>35</v>
      </c>
      <c r="H1" s="32" t="s">
        <v>36</v>
      </c>
      <c r="I1" s="33">
        <v>52467.44</v>
      </c>
      <c r="J1" s="33">
        <v>0.32711099999999999</v>
      </c>
      <c r="K1" s="32" t="s">
        <v>37</v>
      </c>
      <c r="L1" s="34" t="s">
        <v>38</v>
      </c>
      <c r="T1" s="52" t="s">
        <v>51</v>
      </c>
    </row>
    <row r="2" spans="1:20">
      <c r="A2" t="s">
        <v>23</v>
      </c>
      <c r="B2" t="s">
        <v>35</v>
      </c>
      <c r="C2" s="9" t="s">
        <v>38</v>
      </c>
      <c r="D2" t="s">
        <v>34</v>
      </c>
      <c r="T2" s="52" t="s">
        <v>49</v>
      </c>
    </row>
    <row r="3" spans="1:20" ht="13.5" thickBot="1">
      <c r="T3" s="52" t="s">
        <v>50</v>
      </c>
    </row>
    <row r="4" spans="1:20" ht="14.25" thickTop="1" thickBot="1">
      <c r="A4" s="28" t="s">
        <v>36</v>
      </c>
      <c r="C4" s="7">
        <v>52467.44</v>
      </c>
      <c r="D4" s="8">
        <v>0.32711099999999999</v>
      </c>
      <c r="T4" s="53"/>
    </row>
    <row r="5" spans="1:20" ht="13.5" thickTop="1">
      <c r="A5" s="10" t="s">
        <v>28</v>
      </c>
      <c r="B5" s="11"/>
      <c r="C5" s="12">
        <v>-9.5</v>
      </c>
      <c r="D5" s="11" t="s">
        <v>29</v>
      </c>
      <c r="T5" s="53"/>
    </row>
    <row r="6" spans="1:20">
      <c r="A6" s="4" t="s">
        <v>1</v>
      </c>
    </row>
    <row r="7" spans="1:20">
      <c r="A7" t="s">
        <v>2</v>
      </c>
      <c r="C7">
        <v>52467.44</v>
      </c>
    </row>
    <row r="8" spans="1:20">
      <c r="A8" t="s">
        <v>3</v>
      </c>
      <c r="C8">
        <v>0.32711099999999999</v>
      </c>
    </row>
    <row r="9" spans="1:20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0" ht="13.5" thickBot="1">
      <c r="A10" s="11"/>
      <c r="B10" s="11"/>
      <c r="C10" s="3" t="s">
        <v>19</v>
      </c>
      <c r="D10" s="3" t="s">
        <v>20</v>
      </c>
      <c r="E10" s="11"/>
    </row>
    <row r="11" spans="1:20">
      <c r="A11" s="11" t="s">
        <v>15</v>
      </c>
      <c r="B11" s="11"/>
      <c r="C11" s="23">
        <f ca="1">INTERCEPT(INDIRECT($D$9):G990,INDIRECT($C$9):F990)</f>
        <v>1.3886803573185766E-2</v>
      </c>
      <c r="D11" s="13"/>
      <c r="E11" s="11"/>
    </row>
    <row r="12" spans="1:20">
      <c r="A12" s="11" t="s">
        <v>16</v>
      </c>
      <c r="B12" s="11"/>
      <c r="C12" s="23">
        <f ca="1">SLOPE(INDIRECT($D$9):G990,INDIRECT($C$9):F990)</f>
        <v>-1.3859542186125103E-7</v>
      </c>
      <c r="D12" s="13"/>
      <c r="E12" s="11"/>
    </row>
    <row r="13" spans="1:20">
      <c r="A13" s="11" t="s">
        <v>18</v>
      </c>
      <c r="B13" s="11"/>
      <c r="C13" s="13" t="s">
        <v>13</v>
      </c>
    </row>
    <row r="14" spans="1:20">
      <c r="A14" s="11"/>
      <c r="B14" s="11"/>
      <c r="C14" s="11"/>
    </row>
    <row r="15" spans="1:20">
      <c r="A15" s="14" t="s">
        <v>17</v>
      </c>
      <c r="B15" s="11"/>
      <c r="C15" s="15">
        <f ca="1">(C7+C11)+(C8+C12)*INT(MAX(F21:F3531))</f>
        <v>60135.913810711099</v>
      </c>
      <c r="E15" s="13"/>
      <c r="F15" s="11"/>
    </row>
    <row r="16" spans="1:20">
      <c r="A16" s="18" t="s">
        <v>4</v>
      </c>
      <c r="B16" s="11"/>
      <c r="C16" s="19">
        <f ca="1">+C8+C12</f>
        <v>0.32711086140457812</v>
      </c>
      <c r="E16" s="11"/>
      <c r="F16" s="11"/>
    </row>
    <row r="17" spans="1:18" ht="13.5" thickBot="1">
      <c r="A17" s="16" t="s">
        <v>27</v>
      </c>
      <c r="B17" s="11"/>
      <c r="C17" s="11">
        <f>COUNT(C21:C2189)</f>
        <v>14</v>
      </c>
      <c r="E17" s="16" t="s">
        <v>30</v>
      </c>
      <c r="F17" s="17">
        <f ca="1">TODAY()+15018.5-B5/24</f>
        <v>60154.5</v>
      </c>
    </row>
    <row r="18" spans="1:18" ht="14.25" thickTop="1" thickBot="1">
      <c r="A18" s="18" t="s">
        <v>5</v>
      </c>
      <c r="B18" s="11"/>
      <c r="C18" s="21">
        <f ca="1">+C15</f>
        <v>60135.913810711099</v>
      </c>
      <c r="D18" s="22">
        <f ca="1">+C16</f>
        <v>0.32711086140457812</v>
      </c>
      <c r="E18" s="16" t="s">
        <v>31</v>
      </c>
      <c r="F18" s="17">
        <f ca="1">ROUND(2*(F17-C15)/C16,0)/2+1</f>
        <v>58</v>
      </c>
    </row>
    <row r="19" spans="1:18" ht="13.5" thickTop="1">
      <c r="E19" s="16" t="s">
        <v>32</v>
      </c>
      <c r="F19" s="20">
        <f ca="1">+C15+C16*F18-15018.5-C5/24</f>
        <v>45136.782074005903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 ht="12" customHeight="1">
      <c r="A21" t="str">
        <f>$K$1</f>
        <v>IBVS 5532</v>
      </c>
      <c r="C21" s="9">
        <f>+$C$4</f>
        <v>52467.44</v>
      </c>
      <c r="D21" s="9" t="s">
        <v>13</v>
      </c>
      <c r="E21">
        <f t="shared" ref="E21:E30" si="0">+(C21-C$7)/C$8</f>
        <v>0</v>
      </c>
      <c r="F21">
        <f t="shared" ref="F21:F32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1.3886803573185766E-2</v>
      </c>
      <c r="Q21" s="2">
        <f t="shared" ref="Q21:Q30" si="4">+C21-15018.5</f>
        <v>37448.94</v>
      </c>
    </row>
    <row r="22" spans="1:18" ht="12" customHeight="1">
      <c r="A22" s="37" t="s">
        <v>41</v>
      </c>
      <c r="B22" s="38" t="s">
        <v>40</v>
      </c>
      <c r="C22" s="39">
        <v>57204.673889999998</v>
      </c>
      <c r="D22" s="39">
        <v>1E-4</v>
      </c>
      <c r="E22">
        <f t="shared" si="0"/>
        <v>14482.037870936765</v>
      </c>
      <c r="F22">
        <f t="shared" si="1"/>
        <v>14482</v>
      </c>
      <c r="G22">
        <f t="shared" si="2"/>
        <v>1.23879999955534E-2</v>
      </c>
      <c r="K22">
        <f t="shared" ref="K22:K30" si="5">+G22</f>
        <v>1.23879999955534E-2</v>
      </c>
      <c r="O22">
        <f t="shared" ca="1" si="3"/>
        <v>1.1879664673791129E-2</v>
      </c>
      <c r="Q22" s="2">
        <f t="shared" si="4"/>
        <v>42186.173889999998</v>
      </c>
      <c r="R22" t="str">
        <f>IF(ABS(C22-C21)&lt;0.00001,1,"")</f>
        <v/>
      </c>
    </row>
    <row r="23" spans="1:18" ht="12" customHeight="1">
      <c r="A23" s="37" t="s">
        <v>41</v>
      </c>
      <c r="B23" s="38" t="s">
        <v>42</v>
      </c>
      <c r="C23" s="39">
        <v>57204.674070000001</v>
      </c>
      <c r="D23" s="39">
        <v>1E-4</v>
      </c>
      <c r="E23">
        <f t="shared" si="0"/>
        <v>14482.038421208699</v>
      </c>
      <c r="F23">
        <f t="shared" si="1"/>
        <v>14482</v>
      </c>
      <c r="G23">
        <f t="shared" si="2"/>
        <v>1.2567999998282176E-2</v>
      </c>
      <c r="K23">
        <f t="shared" si="5"/>
        <v>1.2567999998282176E-2</v>
      </c>
      <c r="O23">
        <f t="shared" ca="1" si="3"/>
        <v>1.1879664673791129E-2</v>
      </c>
      <c r="Q23" s="2">
        <f t="shared" si="4"/>
        <v>42186.174070000001</v>
      </c>
    </row>
    <row r="24" spans="1:18" ht="12" customHeight="1">
      <c r="A24" s="36" t="s">
        <v>0</v>
      </c>
      <c r="B24" s="35" t="s">
        <v>40</v>
      </c>
      <c r="C24" s="36">
        <v>58271.054450000003</v>
      </c>
      <c r="D24" s="36">
        <v>2.0000000000000001E-4</v>
      </c>
      <c r="E24">
        <f t="shared" si="0"/>
        <v>17742.033896750647</v>
      </c>
      <c r="F24">
        <f t="shared" si="1"/>
        <v>17742</v>
      </c>
      <c r="G24">
        <f t="shared" si="2"/>
        <v>1.1087999999290332E-2</v>
      </c>
      <c r="K24">
        <f t="shared" si="5"/>
        <v>1.1087999999290332E-2</v>
      </c>
      <c r="O24">
        <f t="shared" ca="1" si="3"/>
        <v>1.142784359852345E-2</v>
      </c>
      <c r="Q24" s="2">
        <f t="shared" si="4"/>
        <v>43252.554450000003</v>
      </c>
    </row>
    <row r="25" spans="1:18" ht="12" customHeight="1">
      <c r="A25" s="36" t="s">
        <v>0</v>
      </c>
      <c r="B25" s="35" t="s">
        <v>42</v>
      </c>
      <c r="C25" s="36">
        <v>58271.217629999999</v>
      </c>
      <c r="D25" s="36">
        <v>2.0000000000000001E-4</v>
      </c>
      <c r="E25">
        <f t="shared" si="0"/>
        <v>17742.532748822257</v>
      </c>
      <c r="F25">
        <f t="shared" si="1"/>
        <v>17742.5</v>
      </c>
      <c r="G25">
        <f t="shared" si="2"/>
        <v>1.0712499999499414E-2</v>
      </c>
      <c r="K25">
        <f t="shared" si="5"/>
        <v>1.0712499999499414E-2</v>
      </c>
      <c r="O25">
        <f t="shared" ca="1" si="3"/>
        <v>1.1427774300812519E-2</v>
      </c>
      <c r="Q25" s="2">
        <f t="shared" si="4"/>
        <v>43252.717629999999</v>
      </c>
    </row>
    <row r="26" spans="1:18" ht="12" customHeight="1">
      <c r="A26" s="36" t="s">
        <v>0</v>
      </c>
      <c r="B26" s="35" t="s">
        <v>42</v>
      </c>
      <c r="C26" s="36">
        <v>58317.994599999998</v>
      </c>
      <c r="D26" s="36">
        <v>5.0000000000000001E-4</v>
      </c>
      <c r="E26">
        <f t="shared" si="0"/>
        <v>17885.533045357679</v>
      </c>
      <c r="F26">
        <f t="shared" si="1"/>
        <v>17885.5</v>
      </c>
      <c r="G26">
        <f t="shared" si="2"/>
        <v>1.0809499995957594E-2</v>
      </c>
      <c r="K26">
        <f t="shared" si="5"/>
        <v>1.0809499995957594E-2</v>
      </c>
      <c r="O26">
        <f t="shared" ca="1" si="3"/>
        <v>1.1407955155486361E-2</v>
      </c>
      <c r="Q26" s="2">
        <f t="shared" si="4"/>
        <v>43299.494599999998</v>
      </c>
    </row>
    <row r="27" spans="1:18" ht="12" customHeight="1">
      <c r="A27" s="43" t="s">
        <v>48</v>
      </c>
      <c r="B27" s="44" t="s">
        <v>40</v>
      </c>
      <c r="C27" s="45">
        <v>58621.063209999818</v>
      </c>
      <c r="D27" s="43">
        <v>6.0999999999999997E-4</v>
      </c>
      <c r="E27">
        <f t="shared" si="0"/>
        <v>18812.033866179419</v>
      </c>
      <c r="F27">
        <f t="shared" si="1"/>
        <v>18812</v>
      </c>
      <c r="G27">
        <f t="shared" si="2"/>
        <v>1.1077999814006034E-2</v>
      </c>
      <c r="K27">
        <f t="shared" si="5"/>
        <v>1.1077999814006034E-2</v>
      </c>
      <c r="O27">
        <f t="shared" ca="1" si="3"/>
        <v>1.1279546497131912E-2</v>
      </c>
      <c r="Q27" s="2">
        <f t="shared" si="4"/>
        <v>43602.563209999818</v>
      </c>
    </row>
    <row r="28" spans="1:18" ht="12" customHeight="1">
      <c r="A28" s="43" t="s">
        <v>48</v>
      </c>
      <c r="B28" s="44" t="s">
        <v>42</v>
      </c>
      <c r="C28" s="45">
        <v>58621.226540000178</v>
      </c>
      <c r="D28" s="43">
        <v>6.4000000000000005E-4</v>
      </c>
      <c r="E28">
        <f t="shared" si="0"/>
        <v>18812.533176812078</v>
      </c>
      <c r="F28">
        <f t="shared" si="1"/>
        <v>18812.5</v>
      </c>
      <c r="G28">
        <f t="shared" si="2"/>
        <v>1.0852500177861657E-2</v>
      </c>
      <c r="K28">
        <f t="shared" si="5"/>
        <v>1.0852500177861657E-2</v>
      </c>
      <c r="O28">
        <f t="shared" ca="1" si="3"/>
        <v>1.1279477199420981E-2</v>
      </c>
      <c r="Q28" s="2">
        <f t="shared" si="4"/>
        <v>43602.726540000178</v>
      </c>
    </row>
    <row r="29" spans="1:18" ht="12" customHeight="1">
      <c r="A29" s="40" t="s">
        <v>47</v>
      </c>
      <c r="B29" s="41" t="s">
        <v>42</v>
      </c>
      <c r="C29" s="42">
        <v>59045.000189999999</v>
      </c>
      <c r="D29" s="42">
        <v>8.7000000000000001E-4</v>
      </c>
      <c r="E29">
        <f t="shared" si="0"/>
        <v>20108.037302322442</v>
      </c>
      <c r="F29">
        <f t="shared" si="1"/>
        <v>20108</v>
      </c>
      <c r="G29">
        <f t="shared" si="2"/>
        <v>1.2201999998069368E-2</v>
      </c>
      <c r="K29">
        <f t="shared" si="5"/>
        <v>1.2201999998069368E-2</v>
      </c>
      <c r="O29">
        <f t="shared" ca="1" si="3"/>
        <v>1.1099926830399731E-2</v>
      </c>
      <c r="Q29" s="2">
        <f t="shared" si="4"/>
        <v>44026.500189999999</v>
      </c>
    </row>
    <row r="30" spans="1:18" ht="12" customHeight="1">
      <c r="A30" s="40" t="s">
        <v>47</v>
      </c>
      <c r="B30" s="41" t="s">
        <v>40</v>
      </c>
      <c r="C30" s="42">
        <v>59045.162909999999</v>
      </c>
      <c r="D30" s="42">
        <v>7.9000000000000001E-4</v>
      </c>
      <c r="E30">
        <f t="shared" si="0"/>
        <v>20108.534748143589</v>
      </c>
      <c r="F30">
        <f t="shared" si="1"/>
        <v>20108.5</v>
      </c>
      <c r="G30">
        <f t="shared" si="2"/>
        <v>1.1366499995347112E-2</v>
      </c>
      <c r="K30">
        <f t="shared" si="5"/>
        <v>1.1366499995347112E-2</v>
      </c>
      <c r="O30">
        <f t="shared" ca="1" si="3"/>
        <v>1.10998575326888E-2</v>
      </c>
      <c r="Q30" s="2">
        <f t="shared" si="4"/>
        <v>44026.662909999999</v>
      </c>
    </row>
    <row r="31" spans="1:18" ht="12" customHeight="1">
      <c r="A31" s="46" t="s">
        <v>49</v>
      </c>
      <c r="B31" s="47" t="s">
        <v>40</v>
      </c>
      <c r="C31" s="48">
        <v>59780.016999999993</v>
      </c>
      <c r="D31" s="49">
        <v>1.1900000000000001E-4</v>
      </c>
      <c r="E31">
        <f t="shared" ref="E31:E32" si="6">+(C31-C$7)/C$8</f>
        <v>22355.03238961695</v>
      </c>
      <c r="F31">
        <f t="shared" si="1"/>
        <v>22355</v>
      </c>
      <c r="G31">
        <f t="shared" ref="G31:G32" si="7">+C31-(C$7+F31*C$8)</f>
        <v>1.0594999992463272E-2</v>
      </c>
      <c r="K31">
        <f t="shared" ref="K31:K32" si="8">+G31</f>
        <v>1.0594999992463272E-2</v>
      </c>
      <c r="O31">
        <f t="shared" ref="O31:O32" ca="1" si="9">+C$11+C$12*$F31</f>
        <v>1.0788502917477499E-2</v>
      </c>
      <c r="Q31" s="2">
        <f t="shared" ref="Q31:Q32" si="10">+C31-15018.5</f>
        <v>44761.516999999993</v>
      </c>
    </row>
    <row r="32" spans="1:18" ht="12" customHeight="1">
      <c r="A32" s="46" t="s">
        <v>49</v>
      </c>
      <c r="B32" s="47" t="s">
        <v>42</v>
      </c>
      <c r="C32" s="48">
        <v>59780.178150999825</v>
      </c>
      <c r="D32" s="49">
        <v>1.2589999999999999E-3</v>
      </c>
      <c r="E32">
        <f t="shared" si="6"/>
        <v>22355.525038900629</v>
      </c>
      <c r="F32">
        <f t="shared" si="1"/>
        <v>22355.5</v>
      </c>
      <c r="G32">
        <f t="shared" si="7"/>
        <v>8.1904998223762959E-3</v>
      </c>
      <c r="K32">
        <f t="shared" si="8"/>
        <v>8.1904998223762959E-3</v>
      </c>
      <c r="O32">
        <f t="shared" ca="1" si="9"/>
        <v>1.0788433619766568E-2</v>
      </c>
      <c r="Q32" s="2">
        <f t="shared" si="10"/>
        <v>44761.678150999825</v>
      </c>
    </row>
    <row r="33" spans="1:17" ht="12" customHeight="1">
      <c r="A33" s="50" t="s">
        <v>50</v>
      </c>
      <c r="B33" s="51" t="s">
        <v>40</v>
      </c>
      <c r="C33" s="50">
        <v>60135.914617000148</v>
      </c>
      <c r="D33" s="50">
        <v>6.3900000000000003E-4</v>
      </c>
      <c r="E33">
        <f t="shared" ref="E33:E34" si="11">+(C33-C$7)/C$8</f>
        <v>23443.034985066675</v>
      </c>
      <c r="F33">
        <f t="shared" ref="F33:F34" si="12">ROUND(2*E33,0)/2</f>
        <v>23443</v>
      </c>
      <c r="G33">
        <f t="shared" ref="G33:G34" si="13">+C33-(C$7+F33*C$8)</f>
        <v>1.1444000148912892E-2</v>
      </c>
      <c r="K33">
        <f t="shared" ref="K33:K34" si="14">+G33</f>
        <v>1.1444000148912892E-2</v>
      </c>
      <c r="O33">
        <f t="shared" ref="O33:O34" ca="1" si="15">+C$11+C$12*$F33</f>
        <v>1.0637711098492458E-2</v>
      </c>
      <c r="Q33" s="2">
        <f t="shared" ref="Q33:Q34" si="16">+C33-15018.5</f>
        <v>45117.414617000148</v>
      </c>
    </row>
    <row r="34" spans="1:17" ht="12" customHeight="1">
      <c r="A34" s="50" t="s">
        <v>50</v>
      </c>
      <c r="B34" s="51" t="s">
        <v>42</v>
      </c>
      <c r="C34" s="50">
        <v>60136.079067999963</v>
      </c>
      <c r="D34" s="50">
        <v>7.9699999999999997E-4</v>
      </c>
      <c r="E34">
        <f t="shared" si="11"/>
        <v>23443.537722668942</v>
      </c>
      <c r="F34">
        <f t="shared" si="12"/>
        <v>23443.5</v>
      </c>
      <c r="G34">
        <f t="shared" si="13"/>
        <v>1.2339499960944522E-2</v>
      </c>
      <c r="K34">
        <f t="shared" si="14"/>
        <v>1.2339499960944522E-2</v>
      </c>
      <c r="O34">
        <f t="shared" ca="1" si="15"/>
        <v>1.0637641800781528E-2</v>
      </c>
      <c r="Q34" s="2">
        <f t="shared" si="16"/>
        <v>45117.579067999963</v>
      </c>
    </row>
    <row r="35" spans="1:17" ht="12" customHeight="1">
      <c r="C35" s="9"/>
      <c r="D35" s="9"/>
    </row>
    <row r="36" spans="1:17" ht="12" customHeight="1">
      <c r="C36" s="9"/>
      <c r="D36" s="9"/>
    </row>
    <row r="37" spans="1:17" ht="12" customHeight="1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</sheetData>
  <sortState xmlns:xlrd2="http://schemas.microsoft.com/office/spreadsheetml/2017/richdata2" ref="A21:Q30">
    <sortCondition ref="C21:C30"/>
  </sortState>
  <phoneticPr fontId="8" type="noConversion"/>
  <hyperlinks>
    <hyperlink ref="H63471" r:id="rId1" display="http://vsolj.cetus-net.org/bulletin.html" xr:uid="{00000000-0004-0000-0000-000000000000}"/>
    <hyperlink ref="H63464" r:id="rId2" display="https://www.aavso.org/ejaavso" xr:uid="{00000000-0004-0000-0000-000001000000}"/>
    <hyperlink ref="I63471" r:id="rId3" display="http://vsolj.cetus-net.org/bulletin.html" xr:uid="{00000000-0004-0000-0000-000002000000}"/>
    <hyperlink ref="AQ57122" r:id="rId4" display="http://cdsbib.u-strasbg.fr/cgi-bin/cdsbib?1990RMxAA..21..381G" xr:uid="{00000000-0004-0000-0000-000003000000}"/>
    <hyperlink ref="H63468" r:id="rId5" display="https://www.aavso.org/ejaavso" xr:uid="{00000000-0004-0000-0000-000004000000}"/>
    <hyperlink ref="AP4486" r:id="rId6" display="http://cdsbib.u-strasbg.fr/cgi-bin/cdsbib?1990RMxAA..21..381G" xr:uid="{00000000-0004-0000-0000-000005000000}"/>
    <hyperlink ref="AP4489" r:id="rId7" display="http://cdsbib.u-strasbg.fr/cgi-bin/cdsbib?1990RMxAA..21..381G" xr:uid="{00000000-0004-0000-0000-000006000000}"/>
    <hyperlink ref="AP4487" r:id="rId8" display="http://cdsbib.u-strasbg.fr/cgi-bin/cdsbib?1990RMxAA..21..381G" xr:uid="{00000000-0004-0000-0000-000007000000}"/>
    <hyperlink ref="AP4471" r:id="rId9" display="http://cdsbib.u-strasbg.fr/cgi-bin/cdsbib?1990RMxAA..21..381G" xr:uid="{00000000-0004-0000-0000-000008000000}"/>
    <hyperlink ref="AQ4700" r:id="rId10" display="http://cdsbib.u-strasbg.fr/cgi-bin/cdsbib?1990RMxAA..21..381G" xr:uid="{00000000-0004-0000-0000-000009000000}"/>
    <hyperlink ref="AQ4704" r:id="rId11" display="http://cdsbib.u-strasbg.fr/cgi-bin/cdsbib?1990RMxAA..21..381G" xr:uid="{00000000-0004-0000-0000-00000A000000}"/>
    <hyperlink ref="AQ64384" r:id="rId12" display="http://cdsbib.u-strasbg.fr/cgi-bin/cdsbib?1990RMxAA..21..381G" xr:uid="{00000000-0004-0000-0000-00000B000000}"/>
    <hyperlink ref="I1592" r:id="rId13" display="http://vsolj.cetus-net.org/bulletin.html" xr:uid="{00000000-0004-0000-0000-00000C000000}"/>
    <hyperlink ref="H1592" r:id="rId14" display="http://vsolj.cetus-net.org/bulletin.html" xr:uid="{00000000-0004-0000-0000-00000D000000}"/>
    <hyperlink ref="AQ65045" r:id="rId15" display="http://cdsbib.u-strasbg.fr/cgi-bin/cdsbib?1990RMxAA..21..381G" xr:uid="{00000000-0004-0000-0000-00000E000000}"/>
    <hyperlink ref="AQ65044" r:id="rId16" display="http://cdsbib.u-strasbg.fr/cgi-bin/cdsbib?1990RMxAA..21..381G" xr:uid="{00000000-0004-0000-0000-00000F000000}"/>
    <hyperlink ref="AP2762" r:id="rId17" display="http://cdsbib.u-strasbg.fr/cgi-bin/cdsbib?1990RMxAA..21..381G" xr:uid="{00000000-0004-0000-0000-000010000000}"/>
    <hyperlink ref="AP2780" r:id="rId18" display="http://cdsbib.u-strasbg.fr/cgi-bin/cdsbib?1990RMxAA..21..381G" xr:uid="{00000000-0004-0000-0000-000011000000}"/>
    <hyperlink ref="AP2781" r:id="rId19" display="http://cdsbib.u-strasbg.fr/cgi-bin/cdsbib?1990RMxAA..21..381G" xr:uid="{00000000-0004-0000-0000-000012000000}"/>
    <hyperlink ref="AP27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2023-07-29T06:30:46Z</dcterms:modified>
</cp:coreProperties>
</file>