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005F1F-7D62-4BEF-BB36-1171BFC772F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0" i="1"/>
  <c r="F50" i="1" s="1"/>
  <c r="G50" i="1" s="1"/>
  <c r="K50" i="1" s="1"/>
  <c r="Q50" i="1"/>
  <c r="Q49" i="1"/>
  <c r="E22" i="1"/>
  <c r="F22" i="1"/>
  <c r="E31" i="1"/>
  <c r="F31" i="1"/>
  <c r="E43" i="1"/>
  <c r="F43" i="1"/>
  <c r="E46" i="1"/>
  <c r="F46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2" i="1"/>
  <c r="Q43" i="1"/>
  <c r="Q44" i="1"/>
  <c r="Q45" i="1"/>
  <c r="Q47" i="1"/>
  <c r="G16" i="2"/>
  <c r="C16" i="2"/>
  <c r="G37" i="2"/>
  <c r="C37" i="2"/>
  <c r="G36" i="2"/>
  <c r="C36" i="2"/>
  <c r="G35" i="2"/>
  <c r="C35" i="2"/>
  <c r="G34" i="2"/>
  <c r="C34" i="2"/>
  <c r="E34" i="2"/>
  <c r="G33" i="2"/>
  <c r="C33" i="2"/>
  <c r="G15" i="2"/>
  <c r="C15" i="2"/>
  <c r="G14" i="2"/>
  <c r="C14" i="2"/>
  <c r="G13" i="2"/>
  <c r="C13" i="2"/>
  <c r="G12" i="2"/>
  <c r="C12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11" i="2"/>
  <c r="C11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H16" i="2"/>
  <c r="B16" i="2"/>
  <c r="D16" i="2"/>
  <c r="A1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48" i="1"/>
  <c r="Q46" i="1"/>
  <c r="F16" i="1"/>
  <c r="F17" i="1" s="1"/>
  <c r="C17" i="1"/>
  <c r="Q38" i="1"/>
  <c r="Q39" i="1"/>
  <c r="Q40" i="1"/>
  <c r="Q41" i="1"/>
  <c r="C8" i="1"/>
  <c r="C7" i="1"/>
  <c r="E49" i="1"/>
  <c r="F49" i="1"/>
  <c r="Q27" i="1"/>
  <c r="E31" i="2"/>
  <c r="E17" i="2"/>
  <c r="E32" i="2"/>
  <c r="E23" i="2"/>
  <c r="E38" i="1"/>
  <c r="F38" i="1"/>
  <c r="E36" i="1"/>
  <c r="F36" i="1"/>
  <c r="E28" i="1"/>
  <c r="F28" i="1"/>
  <c r="U21" i="1"/>
  <c r="E45" i="1"/>
  <c r="F45" i="1"/>
  <c r="G45" i="1"/>
  <c r="I45" i="1"/>
  <c r="E33" i="1"/>
  <c r="F33" i="1"/>
  <c r="G33" i="1"/>
  <c r="H33" i="1"/>
  <c r="E24" i="1"/>
  <c r="F24" i="1"/>
  <c r="G24" i="1"/>
  <c r="H24" i="1"/>
  <c r="E41" i="1"/>
  <c r="F41" i="1"/>
  <c r="G41" i="1"/>
  <c r="E42" i="1"/>
  <c r="G32" i="1"/>
  <c r="H32" i="1"/>
  <c r="E30" i="1"/>
  <c r="F30" i="1"/>
  <c r="G30" i="1"/>
  <c r="H30" i="1"/>
  <c r="E21" i="1"/>
  <c r="F21" i="1"/>
  <c r="E27" i="1"/>
  <c r="F27" i="1"/>
  <c r="G27" i="1"/>
  <c r="H27" i="1"/>
  <c r="E35" i="1"/>
  <c r="F35" i="1"/>
  <c r="G35" i="1"/>
  <c r="H35" i="1"/>
  <c r="E26" i="1"/>
  <c r="E48" i="1"/>
  <c r="E44" i="1"/>
  <c r="F44" i="1"/>
  <c r="G44" i="1"/>
  <c r="I44" i="1"/>
  <c r="E32" i="1"/>
  <c r="F32" i="1"/>
  <c r="E23" i="1"/>
  <c r="G49" i="1"/>
  <c r="K49" i="1"/>
  <c r="G46" i="1"/>
  <c r="K46" i="1"/>
  <c r="E40" i="1"/>
  <c r="F40" i="1"/>
  <c r="G40" i="1"/>
  <c r="I40" i="1"/>
  <c r="G43" i="1"/>
  <c r="I43" i="1"/>
  <c r="E37" i="1"/>
  <c r="F37" i="1"/>
  <c r="G37" i="1"/>
  <c r="H37" i="1"/>
  <c r="G31" i="1"/>
  <c r="H31" i="1"/>
  <c r="E29" i="1"/>
  <c r="F29" i="1"/>
  <c r="G29" i="1"/>
  <c r="H29" i="1"/>
  <c r="G22" i="1"/>
  <c r="H22" i="1"/>
  <c r="G38" i="1"/>
  <c r="I38" i="1"/>
  <c r="E47" i="1"/>
  <c r="F47" i="1"/>
  <c r="G47" i="1"/>
  <c r="K47" i="1"/>
  <c r="G36" i="1"/>
  <c r="H36" i="1"/>
  <c r="E34" i="1"/>
  <c r="G28" i="1"/>
  <c r="H28" i="1"/>
  <c r="E25" i="1"/>
  <c r="F25" i="1"/>
  <c r="G25" i="1"/>
  <c r="H25" i="1"/>
  <c r="E39" i="1"/>
  <c r="I41" i="1"/>
  <c r="E35" i="2"/>
  <c r="E28" i="2"/>
  <c r="F48" i="1"/>
  <c r="G48" i="1"/>
  <c r="K48" i="1"/>
  <c r="E16" i="2"/>
  <c r="E27" i="2"/>
  <c r="E30" i="2"/>
  <c r="E12" i="2"/>
  <c r="E11" i="2"/>
  <c r="E36" i="2"/>
  <c r="E22" i="2"/>
  <c r="F26" i="1"/>
  <c r="G26" i="1"/>
  <c r="H26" i="1"/>
  <c r="E14" i="2"/>
  <c r="F39" i="1"/>
  <c r="G39" i="1"/>
  <c r="I39" i="1"/>
  <c r="E13" i="2"/>
  <c r="E19" i="2"/>
  <c r="F23" i="1"/>
  <c r="G23" i="1"/>
  <c r="H23" i="1"/>
  <c r="E15" i="2"/>
  <c r="E25" i="2"/>
  <c r="E33" i="2"/>
  <c r="F42" i="1"/>
  <c r="G42" i="1"/>
  <c r="E37" i="2"/>
  <c r="E24" i="2"/>
  <c r="F34" i="1"/>
  <c r="G34" i="1"/>
  <c r="H34" i="1"/>
  <c r="E29" i="2"/>
  <c r="E21" i="2"/>
  <c r="E20" i="2"/>
  <c r="I42" i="1"/>
  <c r="C11" i="1"/>
  <c r="C12" i="1"/>
  <c r="O51" i="1" l="1"/>
  <c r="O50" i="1"/>
  <c r="C16" i="1"/>
  <c r="D18" i="1" s="1"/>
  <c r="O33" i="1"/>
  <c r="O43" i="1"/>
  <c r="O29" i="1"/>
  <c r="O49" i="1"/>
  <c r="O40" i="1"/>
  <c r="O45" i="1"/>
  <c r="O38" i="1"/>
  <c r="O37" i="1"/>
  <c r="O26" i="1"/>
  <c r="O28" i="1"/>
  <c r="O41" i="1"/>
  <c r="O39" i="1"/>
  <c r="O35" i="1"/>
  <c r="O30" i="1"/>
  <c r="O36" i="1"/>
  <c r="O48" i="1"/>
  <c r="O21" i="1"/>
  <c r="O42" i="1"/>
  <c r="O46" i="1"/>
  <c r="O25" i="1"/>
  <c r="O23" i="1"/>
  <c r="C15" i="1"/>
  <c r="O24" i="1"/>
  <c r="O27" i="1"/>
  <c r="O34" i="1"/>
  <c r="O32" i="1"/>
  <c r="O31" i="1"/>
  <c r="O22" i="1"/>
  <c r="O47" i="1"/>
  <c r="O44" i="1"/>
  <c r="F18" i="1" l="1"/>
  <c r="F19" i="1" s="1"/>
  <c r="C18" i="1"/>
</calcChain>
</file>

<file path=xl/sharedStrings.xml><?xml version="1.0" encoding="utf-8"?>
<sst xmlns="http://schemas.openxmlformats.org/spreadsheetml/2006/main" count="315" uniqueCount="179">
  <si>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</si>
  <si>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</si>
  <si>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</si>
  <si>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</si>
  <si>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</si>
  <si>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</si>
  <si>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</si>
  <si>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</si>
  <si>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</si>
  <si>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</si>
  <si>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</si>
  <si>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</si>
  <si>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</si>
  <si>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</si>
  <si>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</si>
  <si>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</si>
  <si>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</si>
  <si>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</si>
  <si>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</si>
  <si>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</si>
  <si>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</si>
  <si>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</si>
  <si>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</si>
  <si>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</si>
  <si>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</si>
  <si>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</si>
  <si>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</si>
  <si>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</si>
  <si>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Bull.39</t>
  </si>
  <si>
    <t>B</t>
  </si>
  <si>
    <t>v</t>
  </si>
  <si>
    <t>BAAVSS 60,15</t>
  </si>
  <si>
    <t>K</t>
  </si>
  <si>
    <t>Locher K</t>
  </si>
  <si>
    <t>BBSAG Bull.78</t>
  </si>
  <si>
    <t>BBSAG Bull.107</t>
  </si>
  <si>
    <t># of data points:</t>
  </si>
  <si>
    <t>EA/DS</t>
  </si>
  <si>
    <t>DF Peg / GSC 01134-00190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</si>
  <si>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</si>
  <si>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</si>
  <si>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</si>
  <si>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</si>
  <si>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</si>
  <si>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</si>
  <si>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</si>
  <si>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</si>
  <si>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</si>
  <si>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</si>
  <si>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IBVS 6152</t>
  </si>
  <si>
    <t>pg</t>
  </si>
  <si>
    <t>vis</t>
  </si>
  <si>
    <t>PE</t>
  </si>
  <si>
    <t>CCD</t>
  </si>
  <si>
    <t>BAD?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</si>
  <si>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</si>
  <si>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</si>
  <si>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</si>
  <si>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</si>
  <si>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</si>
  <si>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</si>
  <si>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</si>
  <si>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</si>
  <si>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</si>
  <si>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</si>
  <si>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2425640.970 </t>
  </si>
  <si>
    <t> 29.01.1929 11:16 </t>
  </si>
  <si>
    <t> -0.846 </t>
  </si>
  <si>
    <t> S.Gaposchkin </t>
  </si>
  <si>
    <t> HA 113.75 </t>
  </si>
  <si>
    <t>2425862.439 </t>
  </si>
  <si>
    <t> 07.09.1929 22:32 </t>
  </si>
  <si>
    <t> 0.143 </t>
  </si>
  <si>
    <t>P </t>
  </si>
  <si>
    <t> A.Jensch </t>
  </si>
  <si>
    <t> AN 255.421 </t>
  </si>
  <si>
    <t>2426185.479 </t>
  </si>
  <si>
    <t> 27.07.1930 23:29 </t>
  </si>
  <si>
    <t> -0.188 </t>
  </si>
  <si>
    <t>2426244.392 </t>
  </si>
  <si>
    <t> 24.09.1930 21:24 </t>
  </si>
  <si>
    <t> -0.070 </t>
  </si>
  <si>
    <t>2426979.494 </t>
  </si>
  <si>
    <t> 28.09.1932 23:51 </t>
  </si>
  <si>
    <t> 0.097 </t>
  </si>
  <si>
    <t>2427699.604 </t>
  </si>
  <si>
    <t> 19.09.1934 02:29 </t>
  </si>
  <si>
    <t> -0.030 </t>
  </si>
  <si>
    <t>V </t>
  </si>
  <si>
    <t>2433505.62 </t>
  </si>
  <si>
    <t> 12.08.1950 02:52 </t>
  </si>
  <si>
    <t> 0.00 </t>
  </si>
  <si>
    <t> R.Szafraniec </t>
  </si>
  <si>
    <t> AAC 5.51 </t>
  </si>
  <si>
    <t>2433505.65 </t>
  </si>
  <si>
    <t> 12.08.1950 03:36 </t>
  </si>
  <si>
    <t> 0.03 </t>
  </si>
  <si>
    <t> AAC 5.11 </t>
  </si>
  <si>
    <t>2436401.50 </t>
  </si>
  <si>
    <t> 17.07.1958 00:00 </t>
  </si>
  <si>
    <t> 0.24 </t>
  </si>
  <si>
    <t> Yurkovsky et al. </t>
  </si>
  <si>
    <t> AC 1199 </t>
  </si>
  <si>
    <t>2436489.49 </t>
  </si>
  <si>
    <t> 12.10.1958 23:45 </t>
  </si>
  <si>
    <t> AA 10.70 </t>
  </si>
  <si>
    <t>2436548.20 </t>
  </si>
  <si>
    <t> 10.12.1958 16:48 </t>
  </si>
  <si>
    <t> -0.05 </t>
  </si>
  <si>
    <t>2436901.24 </t>
  </si>
  <si>
    <t> 28.11.1959 17:45 </t>
  </si>
  <si>
    <t> 0.22 </t>
  </si>
  <si>
    <t>2437518.47 </t>
  </si>
  <si>
    <t> 06.08.1961 23:16 </t>
  </si>
  <si>
    <t> 0.10 </t>
  </si>
  <si>
    <t>2437959.27 </t>
  </si>
  <si>
    <t> 21.10.1962 18:28 </t>
  </si>
  <si>
    <t> -0.06 </t>
  </si>
  <si>
    <t>2438973.52 </t>
  </si>
  <si>
    <t> 01.08.1965 00:28 </t>
  </si>
  <si>
    <t> -0.02 </t>
  </si>
  <si>
    <t>2439767.34 </t>
  </si>
  <si>
    <t> 03.10.1967 20:09 </t>
  </si>
  <si>
    <t> 0.07 </t>
  </si>
  <si>
    <t>2440502.33 </t>
  </si>
  <si>
    <t> 07.10.1969 19:55 </t>
  </si>
  <si>
    <t> 0.13 </t>
  </si>
  <si>
    <t>2443765.320 </t>
  </si>
  <si>
    <t> 13.09.1978 19:40 </t>
  </si>
  <si>
    <t> 0.007 </t>
  </si>
  <si>
    <t> R.Diethelm </t>
  </si>
  <si>
    <t> BBS 39 </t>
  </si>
  <si>
    <t>2445573.323 </t>
  </si>
  <si>
    <t> 26.08.1983 19:45 </t>
  </si>
  <si>
    <t> 0.070 </t>
  </si>
  <si>
    <t> T.Brelstaff </t>
  </si>
  <si>
    <t> VSSC 60.22 </t>
  </si>
  <si>
    <t>2446352.31 </t>
  </si>
  <si>
    <t> 13.10.1985 19:26 </t>
  </si>
  <si>
    <t> K.Locher </t>
  </si>
  <si>
    <t> BBS 78 </t>
  </si>
  <si>
    <t>2449615.451 </t>
  </si>
  <si>
    <t> 19.09.1994 22:49 </t>
  </si>
  <si>
    <t> 0.056 </t>
  </si>
  <si>
    <t> BBS 107 </t>
  </si>
  <si>
    <t>2451423.40 </t>
  </si>
  <si>
    <t> 01.09.1999 21:36 </t>
  </si>
  <si>
    <t> 0.06 </t>
  </si>
  <si>
    <t> R.Meyer </t>
  </si>
  <si>
    <t>BAVM 131 </t>
  </si>
  <si>
    <t>2452878.59 </t>
  </si>
  <si>
    <t> 27.08.2003 02:09 </t>
  </si>
  <si>
    <t> 0.08 </t>
  </si>
  <si>
    <t>BAVM 171 </t>
  </si>
  <si>
    <t>2453657.625 </t>
  </si>
  <si>
    <t> 14.10.2005 03:00 </t>
  </si>
  <si>
    <t> 0.087 </t>
  </si>
  <si>
    <t>BAVM 192 </t>
  </si>
  <si>
    <t>2455083.4180 </t>
  </si>
  <si>
    <t> 08.09.2009 22:01 </t>
  </si>
  <si>
    <t> 0.1064 </t>
  </si>
  <si>
    <t>C </t>
  </si>
  <si>
    <t>R</t>
  </si>
  <si>
    <t> H.Kucáková </t>
  </si>
  <si>
    <t>OEJV 0137 </t>
  </si>
  <si>
    <t>2455083.4191 </t>
  </si>
  <si>
    <t> 08.09.2009 22:03 </t>
  </si>
  <si>
    <t> 0.1075 </t>
  </si>
  <si>
    <t>-I</t>
  </si>
  <si>
    <t> P.Frank </t>
  </si>
  <si>
    <t>BAVM 212 </t>
  </si>
  <si>
    <t>2456891.3667 </t>
  </si>
  <si>
    <t> 21.08.2014 20:48 </t>
  </si>
  <si>
    <t>1591</t>
  </si>
  <si>
    <t> 0.1150 </t>
  </si>
  <si>
    <t> F.Agerer </t>
  </si>
  <si>
    <t>BAVM 239 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</si>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</sst>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Peg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6025039640096"/>
          <c:y val="0.14769252958613219"/>
          <c:w val="0.827958231264147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0.14299999999639113</c:v>
                </c:pt>
                <c:pt idx="2">
                  <c:v>-0.18840000000272994</c:v>
                </c:pt>
                <c:pt idx="3">
                  <c:v>-7.0200000001932494E-2</c:v>
                </c:pt>
                <c:pt idx="4">
                  <c:v>9.6799999995710095E-2</c:v>
                </c:pt>
                <c:pt idx="5">
                  <c:v>-2.9500000004190952E-2</c:v>
                </c:pt>
                <c:pt idx="6">
                  <c:v>0</c:v>
                </c:pt>
                <c:pt idx="7">
                  <c:v>2.9999999998835847E-2</c:v>
                </c:pt>
                <c:pt idx="8">
                  <c:v>0.23609999999462161</c:v>
                </c:pt>
                <c:pt idx="9">
                  <c:v>3.3899999994901009E-2</c:v>
                </c:pt>
                <c:pt idx="10">
                  <c:v>-5.0900000002002344E-2</c:v>
                </c:pt>
                <c:pt idx="11">
                  <c:v>0.22029999999358552</c:v>
                </c:pt>
                <c:pt idx="12">
                  <c:v>0.10489999999845168</c:v>
                </c:pt>
                <c:pt idx="13">
                  <c:v>-5.6100000008882489E-2</c:v>
                </c:pt>
                <c:pt idx="14">
                  <c:v>-1.6400000007706694E-2</c:v>
                </c:pt>
                <c:pt idx="15">
                  <c:v>7.3799999991024379E-2</c:v>
                </c:pt>
                <c:pt idx="16">
                  <c:v>0.12879999999859137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F-483B-B49B-0CE347B989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7.3999999949592166E-3</c:v>
                </c:pt>
                <c:pt idx="18">
                  <c:v>7.0299999992130324E-2</c:v>
                </c:pt>
                <c:pt idx="19">
                  <c:v>2.6199999992968515E-2</c:v>
                </c:pt>
                <c:pt idx="20">
                  <c:v>5.5800000001909211E-2</c:v>
                </c:pt>
                <c:pt idx="21">
                  <c:v>6.4699999995355029E-2</c:v>
                </c:pt>
                <c:pt idx="22">
                  <c:v>8.3399999988614582E-2</c:v>
                </c:pt>
                <c:pt idx="23">
                  <c:v>8.7299999999231659E-2</c:v>
                </c:pt>
                <c:pt idx="24">
                  <c:v>0.10639999999693828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F-483B-B49B-0CE347B989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  <c:pt idx="20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F-483B-B49B-0CE347B989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0.10646000000269851</c:v>
                </c:pt>
                <c:pt idx="26">
                  <c:v>0.10749999999825377</c:v>
                </c:pt>
                <c:pt idx="27">
                  <c:v>0.11499999999068677</c:v>
                </c:pt>
                <c:pt idx="28">
                  <c:v>0.11689999999362044</c:v>
                </c:pt>
                <c:pt idx="29">
                  <c:v>0.11679999999614665</c:v>
                </c:pt>
                <c:pt idx="30">
                  <c:v>0.1177999999927124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F-483B-B49B-0CE347B989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F-483B-B49B-0CE347B989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3F-483B-B49B-0CE347B989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20">
                    <c:v>8.9999999999999993E-3</c:v>
                  </c:pt>
                  <c:pt idx="25">
                    <c:v>1E-4</c:v>
                  </c:pt>
                  <c:pt idx="27">
                    <c:v>2.0999999999999999E-3</c:v>
                  </c:pt>
                  <c:pt idx="28">
                    <c:v>5.0000000000000001E-4</c:v>
                  </c:pt>
                  <c:pt idx="29">
                    <c:v>2.5000000000000001E-3</c:v>
                  </c:pt>
                  <c:pt idx="30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3F-483B-B49B-0CE347B989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-0.10354222276148481</c:v>
                </c:pt>
                <c:pt idx="1">
                  <c:v>-0.10203150787687174</c:v>
                </c:pt>
                <c:pt idx="2">
                  <c:v>-9.9815792712772577E-2</c:v>
                </c:pt>
                <c:pt idx="3">
                  <c:v>-9.9412935410209083E-2</c:v>
                </c:pt>
                <c:pt idx="4">
                  <c:v>-9.4377219128165518E-2</c:v>
                </c:pt>
                <c:pt idx="5">
                  <c:v>-8.9442217171762817E-2</c:v>
                </c:pt>
                <c:pt idx="6">
                  <c:v>-4.9660058543618657E-2</c:v>
                </c:pt>
                <c:pt idx="7">
                  <c:v>-4.9660058543618657E-2</c:v>
                </c:pt>
                <c:pt idx="8">
                  <c:v>-2.9819336392367009E-2</c:v>
                </c:pt>
                <c:pt idx="9">
                  <c:v>-2.9215050438521781E-2</c:v>
                </c:pt>
                <c:pt idx="10">
                  <c:v>-2.8812193135958297E-2</c:v>
                </c:pt>
                <c:pt idx="11">
                  <c:v>-2.6395049320577384E-2</c:v>
                </c:pt>
                <c:pt idx="12">
                  <c:v>-2.2165047643660788E-2</c:v>
                </c:pt>
                <c:pt idx="13">
                  <c:v>-1.9143617874434651E-2</c:v>
                </c:pt>
                <c:pt idx="14">
                  <c:v>-1.2194329405214532E-2</c:v>
                </c:pt>
                <c:pt idx="15">
                  <c:v>-6.75575582060748E-3</c:v>
                </c:pt>
                <c:pt idx="16">
                  <c:v>-1.7200395385639153E-3</c:v>
                </c:pt>
                <c:pt idx="17">
                  <c:v>2.0638540753709522E-2</c:v>
                </c:pt>
                <c:pt idx="18">
                  <c:v>3.3026402807536687E-2</c:v>
                </c:pt>
                <c:pt idx="19">
                  <c:v>3.8364262066502869E-2</c:v>
                </c:pt>
                <c:pt idx="20">
                  <c:v>6.0722842358776299E-2</c:v>
                </c:pt>
                <c:pt idx="21">
                  <c:v>7.3110704412603464E-2</c:v>
                </c:pt>
                <c:pt idx="22">
                  <c:v>8.308142265104973E-2</c:v>
                </c:pt>
                <c:pt idx="23">
                  <c:v>8.8419281910015912E-2</c:v>
                </c:pt>
                <c:pt idx="24">
                  <c:v>9.818857149718041E-2</c:v>
                </c:pt>
                <c:pt idx="25">
                  <c:v>9.818857149718041E-2</c:v>
                </c:pt>
                <c:pt idx="26">
                  <c:v>9.818857149718041E-2</c:v>
                </c:pt>
                <c:pt idx="27">
                  <c:v>0.1105764335510076</c:v>
                </c:pt>
                <c:pt idx="28">
                  <c:v>0.11581357848433291</c:v>
                </c:pt>
                <c:pt idx="29">
                  <c:v>0.12558286807149743</c:v>
                </c:pt>
                <c:pt idx="30">
                  <c:v>0.12618715402534264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3F-483B-B49B-0CE347B989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-535</c:v>
                </c:pt>
                <c:pt idx="1">
                  <c:v>-520</c:v>
                </c:pt>
                <c:pt idx="2">
                  <c:v>-498</c:v>
                </c:pt>
                <c:pt idx="3">
                  <c:v>-494</c:v>
                </c:pt>
                <c:pt idx="4">
                  <c:v>-444</c:v>
                </c:pt>
                <c:pt idx="5">
                  <c:v>-395</c:v>
                </c:pt>
                <c:pt idx="6">
                  <c:v>0</c:v>
                </c:pt>
                <c:pt idx="7">
                  <c:v>0</c:v>
                </c:pt>
                <c:pt idx="8">
                  <c:v>197</c:v>
                </c:pt>
                <c:pt idx="9">
                  <c:v>203</c:v>
                </c:pt>
                <c:pt idx="10">
                  <c:v>207</c:v>
                </c:pt>
                <c:pt idx="11">
                  <c:v>231</c:v>
                </c:pt>
                <c:pt idx="12">
                  <c:v>273</c:v>
                </c:pt>
                <c:pt idx="13">
                  <c:v>303</c:v>
                </c:pt>
                <c:pt idx="14">
                  <c:v>372</c:v>
                </c:pt>
                <c:pt idx="15">
                  <c:v>426</c:v>
                </c:pt>
                <c:pt idx="16">
                  <c:v>476</c:v>
                </c:pt>
                <c:pt idx="17">
                  <c:v>698</c:v>
                </c:pt>
                <c:pt idx="18">
                  <c:v>821</c:v>
                </c:pt>
                <c:pt idx="19">
                  <c:v>874</c:v>
                </c:pt>
                <c:pt idx="20">
                  <c:v>1096</c:v>
                </c:pt>
                <c:pt idx="21">
                  <c:v>1219</c:v>
                </c:pt>
                <c:pt idx="22">
                  <c:v>1318</c:v>
                </c:pt>
                <c:pt idx="23">
                  <c:v>1371</c:v>
                </c:pt>
                <c:pt idx="24">
                  <c:v>1468</c:v>
                </c:pt>
                <c:pt idx="25">
                  <c:v>1468</c:v>
                </c:pt>
                <c:pt idx="26">
                  <c:v>1468</c:v>
                </c:pt>
                <c:pt idx="27">
                  <c:v>1591</c:v>
                </c:pt>
                <c:pt idx="28">
                  <c:v>1643</c:v>
                </c:pt>
                <c:pt idx="29">
                  <c:v>1740</c:v>
                </c:pt>
                <c:pt idx="30">
                  <c:v>1746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-0.84550000000308501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3F-483B-B49B-0CE347B9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3864"/>
        <c:axId val="1"/>
      </c:scatterChart>
      <c:valAx>
        <c:axId val="80818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020352294672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972382484447508"/>
          <c:y val="0.92000129214617399"/>
          <c:w val="0.7357922195209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609600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C0188F-4B52-16CC-FB78-72702A06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31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s="9" t="s">
        <v>37</v>
      </c>
    </row>
    <row r="4" spans="1:6" ht="14.25" thickTop="1" thickBot="1" x14ac:dyDescent="0.25">
      <c r="A4" s="5" t="s">
        <v>1</v>
      </c>
      <c r="C4" s="2">
        <v>33505.620000000003</v>
      </c>
      <c r="D4" s="3">
        <v>14.698700000000001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33505.620000000003</v>
      </c>
    </row>
    <row r="8" spans="1:6" x14ac:dyDescent="0.2">
      <c r="A8" t="s">
        <v>4</v>
      </c>
      <c r="C8">
        <f>+D4</f>
        <v>14.698700000000001</v>
      </c>
    </row>
    <row r="9" spans="1:6" x14ac:dyDescent="0.2">
      <c r="A9" s="26" t="s">
        <v>46</v>
      </c>
      <c r="B9" s="27">
        <v>41</v>
      </c>
      <c r="C9" s="15" t="str">
        <f>"F"&amp;B9</f>
        <v>F41</v>
      </c>
      <c r="D9" s="16" t="str">
        <f>"G"&amp;B9</f>
        <v>G41</v>
      </c>
    </row>
    <row r="10" spans="1:6" ht="13.5" thickBot="1" x14ac:dyDescent="0.25">
      <c r="A10" s="11"/>
      <c r="B10" s="11"/>
      <c r="C10" s="4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INTERCEPT(INDIRECT($D$9):G992,INDIRECT($C$9):F992)</f>
        <v>-4.9660058543618657E-2</v>
      </c>
      <c r="D11" s="14"/>
      <c r="E11" s="11"/>
    </row>
    <row r="12" spans="1:6" x14ac:dyDescent="0.2">
      <c r="A12" s="11" t="s">
        <v>18</v>
      </c>
      <c r="B12" s="11"/>
      <c r="C12" s="13">
        <f ca="1">SLOPE(INDIRECT($D$9):G992,INDIRECT($C$9):F992)</f>
        <v>1.0071432564087131E-4</v>
      </c>
      <c r="D12" s="14"/>
      <c r="E12" s="11"/>
    </row>
    <row r="13" spans="1:6" x14ac:dyDescent="0.2">
      <c r="A13" s="11" t="s">
        <v>20</v>
      </c>
      <c r="B13" s="11"/>
      <c r="C13" s="14" t="s">
        <v>15</v>
      </c>
    </row>
    <row r="14" spans="1:6" x14ac:dyDescent="0.2">
      <c r="A14" s="11"/>
      <c r="B14" s="11"/>
      <c r="C14" s="11"/>
    </row>
    <row r="15" spans="1:6" x14ac:dyDescent="0.2">
      <c r="A15" s="19" t="s">
        <v>19</v>
      </c>
      <c r="B15" s="11"/>
      <c r="C15" s="20">
        <f ca="1">(C7+C11)+(C8+C12)*INT(MAX(F21:F3533))</f>
        <v>59169.676387154024</v>
      </c>
      <c r="E15" s="17" t="s">
        <v>41</v>
      </c>
      <c r="F15" s="12">
        <v>1</v>
      </c>
    </row>
    <row r="16" spans="1:6" x14ac:dyDescent="0.2">
      <c r="A16" s="21" t="s">
        <v>5</v>
      </c>
      <c r="B16" s="11"/>
      <c r="C16" s="22">
        <f ca="1">+C8+C12</f>
        <v>14.698800714325641</v>
      </c>
      <c r="E16" s="17" t="s">
        <v>42</v>
      </c>
      <c r="F16" s="18">
        <f ca="1">NOW()+15018.5+$C$5/24</f>
        <v>60162.828664236105</v>
      </c>
    </row>
    <row r="17" spans="1:21" ht="13.5" thickBot="1" x14ac:dyDescent="0.25">
      <c r="A17" s="17" t="s">
        <v>36</v>
      </c>
      <c r="B17" s="11"/>
      <c r="C17" s="11">
        <f>COUNT(C21:C2191)</f>
        <v>31</v>
      </c>
      <c r="E17" s="17" t="s">
        <v>43</v>
      </c>
      <c r="F17" s="18">
        <f ca="1">ROUND(2*(F16-$C$7)/$C$8,0)/2+F15</f>
        <v>1814.5</v>
      </c>
    </row>
    <row r="18" spans="1:21" ht="14.25" thickTop="1" thickBot="1" x14ac:dyDescent="0.25">
      <c r="A18" s="21" t="s">
        <v>6</v>
      </c>
      <c r="B18" s="11"/>
      <c r="C18" s="24">
        <f ca="1">+C15</f>
        <v>59169.676387154024</v>
      </c>
      <c r="D18" s="25">
        <f ca="1">+C16</f>
        <v>14.698800714325641</v>
      </c>
      <c r="E18" s="17" t="s">
        <v>44</v>
      </c>
      <c r="F18" s="16">
        <f ca="1">ROUND(2*(F16-$C$15)/$C$16,0)/2+F15</f>
        <v>68.5</v>
      </c>
    </row>
    <row r="19" spans="1:21" ht="13.5" thickTop="1" x14ac:dyDescent="0.2">
      <c r="E19" s="17" t="s">
        <v>45</v>
      </c>
      <c r="F19" s="23">
        <f ca="1">+$C$15+$C$16*F18-15018.5-$C$5/24</f>
        <v>45158.44006941867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55</v>
      </c>
      <c r="M20" s="7" t="s">
        <v>56</v>
      </c>
      <c r="N20" s="7" t="s">
        <v>26</v>
      </c>
      <c r="O20" s="7" t="s">
        <v>24</v>
      </c>
      <c r="P20" s="6" t="s">
        <v>23</v>
      </c>
      <c r="Q20" s="4" t="s">
        <v>16</v>
      </c>
      <c r="U20" s="31" t="s">
        <v>54</v>
      </c>
    </row>
    <row r="21" spans="1:21" x14ac:dyDescent="0.2">
      <c r="A21" s="46" t="s">
        <v>69</v>
      </c>
      <c r="B21" s="48" t="s">
        <v>48</v>
      </c>
      <c r="C21" s="47">
        <v>25640.97</v>
      </c>
      <c r="D21" s="8"/>
      <c r="E21" s="28">
        <f t="shared" ref="E21:E48" si="0">+(C21-C$7)/C$8</f>
        <v>-535.05752209379068</v>
      </c>
      <c r="F21" s="28">
        <f t="shared" ref="F21:F49" si="1">ROUND(2*E21,0)/2</f>
        <v>-535</v>
      </c>
      <c r="H21" s="28"/>
      <c r="J21" s="28"/>
      <c r="L21" s="28"/>
      <c r="M21" s="28"/>
      <c r="N21" s="28"/>
      <c r="O21" s="28">
        <f t="shared" ref="O21:O48" ca="1" si="2">+C$11+C$12*$F21</f>
        <v>-0.10354222276148481</v>
      </c>
      <c r="P21" s="28"/>
      <c r="Q21" s="30">
        <f t="shared" ref="Q21:Q48" si="3">+C21-15018.5</f>
        <v>10622.470000000001</v>
      </c>
      <c r="U21" s="28">
        <f>+C21-(C$7+F21*C$8)</f>
        <v>-0.84550000000308501</v>
      </c>
    </row>
    <row r="22" spans="1:21" x14ac:dyDescent="0.2">
      <c r="A22" s="46" t="s">
        <v>75</v>
      </c>
      <c r="B22" s="48" t="s">
        <v>48</v>
      </c>
      <c r="C22" s="47">
        <v>25862.438999999998</v>
      </c>
      <c r="D22" s="8"/>
      <c r="E22" s="28">
        <f t="shared" si="0"/>
        <v>-519.99027124847805</v>
      </c>
      <c r="F22" s="28">
        <f t="shared" si="1"/>
        <v>-520</v>
      </c>
      <c r="G22" s="28">
        <f t="shared" ref="G22:G48" si="4">+C22-(C$7+F22*C$8)</f>
        <v>0.14299999999639113</v>
      </c>
      <c r="H22" s="28">
        <f t="shared" ref="H22:H37" si="5">+G22</f>
        <v>0.14299999999639113</v>
      </c>
      <c r="J22" s="28"/>
      <c r="L22" s="28"/>
      <c r="M22" s="28"/>
      <c r="N22" s="28"/>
      <c r="O22" s="28">
        <f t="shared" ca="1" si="2"/>
        <v>-0.10203150787687174</v>
      </c>
      <c r="P22" s="28"/>
      <c r="Q22" s="30">
        <f t="shared" si="3"/>
        <v>10843.938999999998</v>
      </c>
      <c r="U22" s="32"/>
    </row>
    <row r="23" spans="1:21" x14ac:dyDescent="0.2">
      <c r="A23" s="46" t="s">
        <v>75</v>
      </c>
      <c r="B23" s="48" t="s">
        <v>48</v>
      </c>
      <c r="C23" s="47">
        <v>26185.478999999999</v>
      </c>
      <c r="D23" s="8"/>
      <c r="E23" s="28">
        <f t="shared" si="0"/>
        <v>-498.0128174600477</v>
      </c>
      <c r="F23" s="28">
        <f t="shared" si="1"/>
        <v>-498</v>
      </c>
      <c r="G23" s="28">
        <f t="shared" si="4"/>
        <v>-0.18840000000272994</v>
      </c>
      <c r="H23" s="28">
        <f t="shared" si="5"/>
        <v>-0.18840000000272994</v>
      </c>
      <c r="J23" s="28"/>
      <c r="L23" s="28"/>
      <c r="M23" s="28"/>
      <c r="N23" s="28"/>
      <c r="O23" s="28">
        <f t="shared" ca="1" si="2"/>
        <v>-9.9815792712772577E-2</v>
      </c>
      <c r="P23" s="28"/>
      <c r="Q23" s="30">
        <f t="shared" si="3"/>
        <v>11166.978999999999</v>
      </c>
      <c r="U23" s="32"/>
    </row>
    <row r="24" spans="1:21" x14ac:dyDescent="0.2">
      <c r="A24" s="46" t="s">
        <v>75</v>
      </c>
      <c r="B24" s="48" t="s">
        <v>48</v>
      </c>
      <c r="C24" s="47">
        <v>26244.392</v>
      </c>
      <c r="D24" s="8"/>
      <c r="E24" s="28">
        <f t="shared" si="0"/>
        <v>-494.00477593256562</v>
      </c>
      <c r="F24" s="28">
        <f t="shared" si="1"/>
        <v>-494</v>
      </c>
      <c r="G24" s="28">
        <f t="shared" si="4"/>
        <v>-7.0200000001932494E-2</v>
      </c>
      <c r="H24" s="28">
        <f t="shared" si="5"/>
        <v>-7.0200000001932494E-2</v>
      </c>
      <c r="J24" s="28"/>
      <c r="L24" s="28"/>
      <c r="M24" s="28"/>
      <c r="N24" s="28"/>
      <c r="O24" s="28">
        <f t="shared" ca="1" si="2"/>
        <v>-9.9412935410209083E-2</v>
      </c>
      <c r="P24" s="28"/>
      <c r="Q24" s="30">
        <f t="shared" si="3"/>
        <v>11225.892</v>
      </c>
      <c r="U24" s="32"/>
    </row>
    <row r="25" spans="1:21" x14ac:dyDescent="0.2">
      <c r="A25" s="46" t="s">
        <v>75</v>
      </c>
      <c r="B25" s="48" t="s">
        <v>48</v>
      </c>
      <c r="C25" s="47">
        <v>26979.493999999999</v>
      </c>
      <c r="D25" s="8"/>
      <c r="E25" s="28">
        <f t="shared" si="0"/>
        <v>-443.99341438358516</v>
      </c>
      <c r="F25" s="28">
        <f t="shared" si="1"/>
        <v>-444</v>
      </c>
      <c r="G25" s="28">
        <f t="shared" si="4"/>
        <v>9.6799999995710095E-2</v>
      </c>
      <c r="H25" s="28">
        <f t="shared" si="5"/>
        <v>9.6799999995710095E-2</v>
      </c>
      <c r="J25" s="28"/>
      <c r="L25" s="28"/>
      <c r="M25" s="28"/>
      <c r="N25" s="28"/>
      <c r="O25" s="28">
        <f t="shared" ca="1" si="2"/>
        <v>-9.4377219128165518E-2</v>
      </c>
      <c r="P25" s="28"/>
      <c r="Q25" s="30">
        <f t="shared" si="3"/>
        <v>11960.993999999999</v>
      </c>
    </row>
    <row r="26" spans="1:21" x14ac:dyDescent="0.2">
      <c r="A26" s="46" t="s">
        <v>75</v>
      </c>
      <c r="B26" s="48" t="s">
        <v>48</v>
      </c>
      <c r="C26" s="47">
        <v>27699.603999999999</v>
      </c>
      <c r="D26" s="8"/>
      <c r="E26" s="28">
        <f t="shared" si="0"/>
        <v>-395.00200698020933</v>
      </c>
      <c r="F26" s="28">
        <f t="shared" si="1"/>
        <v>-395</v>
      </c>
      <c r="G26" s="28">
        <f t="shared" si="4"/>
        <v>-2.9500000004190952E-2</v>
      </c>
      <c r="H26" s="28">
        <f t="shared" si="5"/>
        <v>-2.9500000004190952E-2</v>
      </c>
      <c r="J26" s="28"/>
      <c r="L26" s="28"/>
      <c r="M26" s="28"/>
      <c r="N26" s="28"/>
      <c r="O26" s="28">
        <f t="shared" ca="1" si="2"/>
        <v>-8.9442217171762817E-2</v>
      </c>
      <c r="P26" s="28"/>
      <c r="Q26" s="30">
        <f t="shared" si="3"/>
        <v>12681.103999999999</v>
      </c>
    </row>
    <row r="27" spans="1:21" s="28" customFormat="1" x14ac:dyDescent="0.2">
      <c r="A27" s="28" t="s">
        <v>13</v>
      </c>
      <c r="C27" s="29">
        <v>33505.620000000003</v>
      </c>
      <c r="D27" s="29" t="s">
        <v>15</v>
      </c>
      <c r="E27" s="28">
        <f t="shared" si="0"/>
        <v>0</v>
      </c>
      <c r="F27" s="28">
        <f t="shared" si="1"/>
        <v>0</v>
      </c>
      <c r="G27" s="28">
        <f t="shared" si="4"/>
        <v>0</v>
      </c>
      <c r="H27" s="28">
        <f t="shared" si="5"/>
        <v>0</v>
      </c>
      <c r="O27" s="28">
        <f t="shared" ca="1" si="2"/>
        <v>-4.9660058543618657E-2</v>
      </c>
      <c r="Q27" s="30">
        <f t="shared" si="3"/>
        <v>18487.120000000003</v>
      </c>
    </row>
    <row r="28" spans="1:21" x14ac:dyDescent="0.2">
      <c r="A28" s="46" t="s">
        <v>97</v>
      </c>
      <c r="B28" s="48" t="s">
        <v>48</v>
      </c>
      <c r="C28" s="47">
        <v>33505.65</v>
      </c>
      <c r="D28" s="8"/>
      <c r="E28" s="28">
        <f t="shared" si="0"/>
        <v>2.0409968227690779E-3</v>
      </c>
      <c r="F28" s="28">
        <f t="shared" si="1"/>
        <v>0</v>
      </c>
      <c r="G28" s="28">
        <f t="shared" si="4"/>
        <v>2.9999999998835847E-2</v>
      </c>
      <c r="H28" s="28">
        <f t="shared" si="5"/>
        <v>2.9999999998835847E-2</v>
      </c>
      <c r="J28" s="28"/>
      <c r="L28" s="28"/>
      <c r="M28" s="28"/>
      <c r="N28" s="28"/>
      <c r="O28" s="28">
        <f t="shared" ca="1" si="2"/>
        <v>-4.9660058543618657E-2</v>
      </c>
      <c r="P28" s="28"/>
      <c r="Q28" s="30">
        <f t="shared" si="3"/>
        <v>18487.150000000001</v>
      </c>
    </row>
    <row r="29" spans="1:21" x14ac:dyDescent="0.2">
      <c r="A29" s="46" t="s">
        <v>102</v>
      </c>
      <c r="B29" s="48" t="s">
        <v>48</v>
      </c>
      <c r="C29" s="47">
        <v>36401.5</v>
      </c>
      <c r="D29" s="8"/>
      <c r="E29" s="28">
        <f t="shared" si="0"/>
        <v>197.01606264499563</v>
      </c>
      <c r="F29" s="28">
        <f t="shared" si="1"/>
        <v>197</v>
      </c>
      <c r="G29" s="28">
        <f t="shared" si="4"/>
        <v>0.23609999999462161</v>
      </c>
      <c r="H29" s="28">
        <f t="shared" si="5"/>
        <v>0.23609999999462161</v>
      </c>
      <c r="J29" s="28"/>
      <c r="L29" s="28"/>
      <c r="M29" s="28"/>
      <c r="N29" s="28"/>
      <c r="O29" s="28">
        <f t="shared" ca="1" si="2"/>
        <v>-2.9819336392367009E-2</v>
      </c>
      <c r="P29" s="28"/>
      <c r="Q29" s="30">
        <f t="shared" si="3"/>
        <v>21383</v>
      </c>
    </row>
    <row r="30" spans="1:21" x14ac:dyDescent="0.2">
      <c r="A30" s="46" t="s">
        <v>105</v>
      </c>
      <c r="B30" s="48" t="s">
        <v>48</v>
      </c>
      <c r="C30" s="47">
        <v>36489.49</v>
      </c>
      <c r="D30" s="8"/>
      <c r="E30" s="28">
        <f t="shared" si="0"/>
        <v>203.0023063264095</v>
      </c>
      <c r="F30" s="28">
        <f t="shared" si="1"/>
        <v>203</v>
      </c>
      <c r="G30" s="28">
        <f t="shared" si="4"/>
        <v>3.3899999994901009E-2</v>
      </c>
      <c r="H30" s="28">
        <f t="shared" si="5"/>
        <v>3.3899999994901009E-2</v>
      </c>
      <c r="J30" s="28"/>
      <c r="L30" s="28"/>
      <c r="M30" s="28"/>
      <c r="N30" s="28"/>
      <c r="O30" s="28">
        <f t="shared" ca="1" si="2"/>
        <v>-2.9215050438521781E-2</v>
      </c>
      <c r="P30" s="28"/>
      <c r="Q30" s="30">
        <f t="shared" si="3"/>
        <v>21470.989999999998</v>
      </c>
    </row>
    <row r="31" spans="1:21" x14ac:dyDescent="0.2">
      <c r="A31" s="46" t="s">
        <v>102</v>
      </c>
      <c r="B31" s="48" t="s">
        <v>48</v>
      </c>
      <c r="C31" s="47">
        <v>36548.199999999997</v>
      </c>
      <c r="D31" s="8"/>
      <c r="E31" s="28">
        <f t="shared" si="0"/>
        <v>206.99653710872352</v>
      </c>
      <c r="F31" s="28">
        <f t="shared" si="1"/>
        <v>207</v>
      </c>
      <c r="G31" s="28">
        <f t="shared" si="4"/>
        <v>-5.0900000002002344E-2</v>
      </c>
      <c r="H31" s="28">
        <f t="shared" si="5"/>
        <v>-5.0900000002002344E-2</v>
      </c>
      <c r="J31" s="28"/>
      <c r="L31" s="28"/>
      <c r="M31" s="28"/>
      <c r="N31" s="28"/>
      <c r="O31" s="28">
        <f t="shared" ca="1" si="2"/>
        <v>-2.8812193135958297E-2</v>
      </c>
      <c r="P31" s="28"/>
      <c r="Q31" s="30">
        <f t="shared" si="3"/>
        <v>21529.699999999997</v>
      </c>
    </row>
    <row r="32" spans="1:21" x14ac:dyDescent="0.2">
      <c r="A32" s="46" t="s">
        <v>102</v>
      </c>
      <c r="B32" s="48" t="s">
        <v>48</v>
      </c>
      <c r="C32" s="47">
        <v>36901.24</v>
      </c>
      <c r="D32" s="8"/>
      <c r="E32" s="28">
        <f t="shared" si="0"/>
        <v>231.01498772000213</v>
      </c>
      <c r="F32" s="28">
        <f t="shared" si="1"/>
        <v>231</v>
      </c>
      <c r="G32" s="28">
        <f t="shared" si="4"/>
        <v>0.22029999999358552</v>
      </c>
      <c r="H32" s="28">
        <f t="shared" si="5"/>
        <v>0.22029999999358552</v>
      </c>
      <c r="J32" s="28"/>
      <c r="L32" s="28"/>
      <c r="M32" s="28"/>
      <c r="N32" s="28"/>
      <c r="O32" s="28">
        <f t="shared" ca="1" si="2"/>
        <v>-2.6395049320577384E-2</v>
      </c>
      <c r="P32" s="28"/>
      <c r="Q32" s="30">
        <f t="shared" si="3"/>
        <v>21882.739999999998</v>
      </c>
    </row>
    <row r="33" spans="1:31" x14ac:dyDescent="0.2">
      <c r="A33" s="46" t="s">
        <v>102</v>
      </c>
      <c r="B33" s="48" t="s">
        <v>48</v>
      </c>
      <c r="C33" s="47">
        <v>37518.47</v>
      </c>
      <c r="D33" s="8"/>
      <c r="E33" s="28">
        <f t="shared" si="0"/>
        <v>273.0071366855571</v>
      </c>
      <c r="F33" s="28">
        <f t="shared" si="1"/>
        <v>273</v>
      </c>
      <c r="G33" s="28">
        <f t="shared" si="4"/>
        <v>0.10489999999845168</v>
      </c>
      <c r="H33" s="28">
        <f t="shared" si="5"/>
        <v>0.10489999999845168</v>
      </c>
      <c r="J33" s="28"/>
      <c r="L33" s="28"/>
      <c r="M33" s="28"/>
      <c r="N33" s="28"/>
      <c r="O33" s="28">
        <f t="shared" ca="1" si="2"/>
        <v>-2.2165047643660788E-2</v>
      </c>
      <c r="P33" s="28"/>
      <c r="Q33" s="30">
        <f t="shared" si="3"/>
        <v>22499.97</v>
      </c>
    </row>
    <row r="34" spans="1:31" x14ac:dyDescent="0.2">
      <c r="A34" s="46" t="s">
        <v>102</v>
      </c>
      <c r="B34" s="48" t="s">
        <v>48</v>
      </c>
      <c r="C34" s="47">
        <v>37959.269999999997</v>
      </c>
      <c r="D34" s="8"/>
      <c r="E34" s="28">
        <f t="shared" si="0"/>
        <v>302.99618333594088</v>
      </c>
      <c r="F34" s="28">
        <f t="shared" si="1"/>
        <v>303</v>
      </c>
      <c r="G34" s="28">
        <f t="shared" si="4"/>
        <v>-5.6100000008882489E-2</v>
      </c>
      <c r="H34" s="28">
        <f t="shared" si="5"/>
        <v>-5.6100000008882489E-2</v>
      </c>
      <c r="J34" s="28"/>
      <c r="L34" s="28"/>
      <c r="M34" s="28"/>
      <c r="N34" s="28"/>
      <c r="O34" s="28">
        <f t="shared" ca="1" si="2"/>
        <v>-1.9143617874434651E-2</v>
      </c>
      <c r="P34" s="28"/>
      <c r="Q34" s="30">
        <f t="shared" si="3"/>
        <v>22940.769999999997</v>
      </c>
    </row>
    <row r="35" spans="1:31" x14ac:dyDescent="0.2">
      <c r="A35" s="46" t="s">
        <v>102</v>
      </c>
      <c r="B35" s="48" t="s">
        <v>48</v>
      </c>
      <c r="C35" s="47">
        <v>38973.519999999997</v>
      </c>
      <c r="D35" s="8"/>
      <c r="E35" s="28">
        <f t="shared" si="0"/>
        <v>371.99888425506975</v>
      </c>
      <c r="F35" s="28">
        <f t="shared" si="1"/>
        <v>372</v>
      </c>
      <c r="G35" s="28">
        <f t="shared" si="4"/>
        <v>-1.6400000007706694E-2</v>
      </c>
      <c r="H35" s="28">
        <f t="shared" si="5"/>
        <v>-1.6400000007706694E-2</v>
      </c>
      <c r="J35" s="28"/>
      <c r="L35" s="28"/>
      <c r="M35" s="28"/>
      <c r="N35" s="28"/>
      <c r="O35" s="28">
        <f t="shared" ca="1" si="2"/>
        <v>-1.2194329405214532E-2</v>
      </c>
      <c r="P35" s="28"/>
      <c r="Q35" s="30">
        <f t="shared" si="3"/>
        <v>23955.019999999997</v>
      </c>
    </row>
    <row r="36" spans="1:31" x14ac:dyDescent="0.2">
      <c r="A36" s="46" t="s">
        <v>102</v>
      </c>
      <c r="B36" s="48" t="s">
        <v>48</v>
      </c>
      <c r="C36" s="47">
        <v>39767.339999999997</v>
      </c>
      <c r="D36" s="8"/>
      <c r="E36" s="28">
        <f t="shared" si="0"/>
        <v>426.00502085218375</v>
      </c>
      <c r="F36" s="28">
        <f t="shared" si="1"/>
        <v>426</v>
      </c>
      <c r="G36" s="28">
        <f t="shared" si="4"/>
        <v>7.3799999991024379E-2</v>
      </c>
      <c r="H36" s="28">
        <f t="shared" si="5"/>
        <v>7.3799999991024379E-2</v>
      </c>
      <c r="J36" s="28"/>
      <c r="L36" s="28"/>
      <c r="M36" s="28"/>
      <c r="N36" s="28"/>
      <c r="O36" s="28">
        <f t="shared" ca="1" si="2"/>
        <v>-6.75575582060748E-3</v>
      </c>
      <c r="P36" s="28"/>
      <c r="Q36" s="30">
        <f t="shared" si="3"/>
        <v>24748.839999999997</v>
      </c>
    </row>
    <row r="37" spans="1:31" x14ac:dyDescent="0.2">
      <c r="A37" s="46" t="s">
        <v>102</v>
      </c>
      <c r="B37" s="48" t="s">
        <v>48</v>
      </c>
      <c r="C37" s="47">
        <v>40502.33</v>
      </c>
      <c r="D37" s="8"/>
      <c r="E37" s="28">
        <f t="shared" si="0"/>
        <v>476.00876267969267</v>
      </c>
      <c r="F37" s="28">
        <f t="shared" si="1"/>
        <v>476</v>
      </c>
      <c r="G37" s="28">
        <f t="shared" si="4"/>
        <v>0.12879999999859137</v>
      </c>
      <c r="H37" s="28">
        <f t="shared" si="5"/>
        <v>0.12879999999859137</v>
      </c>
      <c r="J37" s="28"/>
      <c r="L37" s="28"/>
      <c r="M37" s="28"/>
      <c r="N37" s="28"/>
      <c r="O37" s="28">
        <f t="shared" ca="1" si="2"/>
        <v>-1.7200395385639153E-3</v>
      </c>
      <c r="P37" s="28"/>
      <c r="Q37" s="30">
        <f t="shared" si="3"/>
        <v>25483.83</v>
      </c>
    </row>
    <row r="38" spans="1:31" s="28" customFormat="1" x14ac:dyDescent="0.2">
      <c r="A38" s="28" t="s">
        <v>28</v>
      </c>
      <c r="C38" s="29">
        <v>43765.32</v>
      </c>
      <c r="D38" s="29"/>
      <c r="E38" s="28">
        <f t="shared" si="0"/>
        <v>698.00050344588271</v>
      </c>
      <c r="F38" s="28">
        <f t="shared" si="1"/>
        <v>698</v>
      </c>
      <c r="G38" s="28">
        <f t="shared" si="4"/>
        <v>7.3999999949592166E-3</v>
      </c>
      <c r="I38" s="28">
        <f t="shared" ref="I38:I45" si="6">+G38</f>
        <v>7.3999999949592166E-3</v>
      </c>
      <c r="O38" s="28">
        <f t="shared" ca="1" si="2"/>
        <v>2.0638540753709522E-2</v>
      </c>
      <c r="Q38" s="30">
        <f t="shared" si="3"/>
        <v>28746.82</v>
      </c>
      <c r="U38" s="32"/>
      <c r="AA38" s="28">
        <v>8</v>
      </c>
      <c r="AC38" s="28" t="s">
        <v>27</v>
      </c>
      <c r="AE38" s="28" t="s">
        <v>29</v>
      </c>
    </row>
    <row r="39" spans="1:31" s="28" customFormat="1" x14ac:dyDescent="0.2">
      <c r="A39" s="28" t="s">
        <v>31</v>
      </c>
      <c r="C39" s="29">
        <v>45573.322999999997</v>
      </c>
      <c r="D39" s="29"/>
      <c r="E39" s="28">
        <f t="shared" si="0"/>
        <v>821.00478273588783</v>
      </c>
      <c r="F39" s="28">
        <f t="shared" si="1"/>
        <v>821</v>
      </c>
      <c r="G39" s="28">
        <f t="shared" si="4"/>
        <v>7.0299999992130324E-2</v>
      </c>
      <c r="I39" s="28">
        <f t="shared" si="6"/>
        <v>7.0299999992130324E-2</v>
      </c>
      <c r="O39" s="28">
        <f t="shared" ca="1" si="2"/>
        <v>3.3026402807536687E-2</v>
      </c>
      <c r="Q39" s="30">
        <f t="shared" si="3"/>
        <v>30554.822999999997</v>
      </c>
      <c r="U39" s="32"/>
      <c r="Z39" s="28" t="s">
        <v>30</v>
      </c>
      <c r="AE39" s="28" t="s">
        <v>32</v>
      </c>
    </row>
    <row r="40" spans="1:31" s="28" customFormat="1" x14ac:dyDescent="0.2">
      <c r="A40" s="28" t="s">
        <v>34</v>
      </c>
      <c r="C40" s="29">
        <v>46352.31</v>
      </c>
      <c r="D40" s="29"/>
      <c r="E40" s="28">
        <f t="shared" si="0"/>
        <v>874.00178247055828</v>
      </c>
      <c r="F40" s="28">
        <f t="shared" si="1"/>
        <v>874</v>
      </c>
      <c r="G40" s="28">
        <f t="shared" si="4"/>
        <v>2.6199999992968515E-2</v>
      </c>
      <c r="I40" s="28">
        <f t="shared" si="6"/>
        <v>2.6199999992968515E-2</v>
      </c>
      <c r="O40" s="28">
        <f t="shared" ca="1" si="2"/>
        <v>3.8364262066502869E-2</v>
      </c>
      <c r="Q40" s="30">
        <f t="shared" si="3"/>
        <v>31333.809999999998</v>
      </c>
      <c r="U40" s="32"/>
      <c r="Z40" s="28" t="s">
        <v>30</v>
      </c>
      <c r="AA40" s="28">
        <v>5</v>
      </c>
      <c r="AC40" s="28" t="s">
        <v>33</v>
      </c>
      <c r="AE40" s="28" t="s">
        <v>29</v>
      </c>
    </row>
    <row r="41" spans="1:31" s="28" customFormat="1" x14ac:dyDescent="0.2">
      <c r="A41" s="28" t="s">
        <v>35</v>
      </c>
      <c r="C41" s="29">
        <v>49615.451000000001</v>
      </c>
      <c r="D41" s="29">
        <v>8.9999999999999993E-3</v>
      </c>
      <c r="E41" s="28">
        <f t="shared" si="0"/>
        <v>1096.0037962540903</v>
      </c>
      <c r="F41" s="28">
        <f t="shared" si="1"/>
        <v>1096</v>
      </c>
      <c r="G41" s="28">
        <f t="shared" si="4"/>
        <v>5.5800000001909211E-2</v>
      </c>
      <c r="I41" s="28">
        <f t="shared" si="6"/>
        <v>5.5800000001909211E-2</v>
      </c>
      <c r="O41" s="28">
        <f t="shared" ca="1" si="2"/>
        <v>6.0722842358776299E-2</v>
      </c>
      <c r="Q41" s="30">
        <f t="shared" si="3"/>
        <v>34596.951000000001</v>
      </c>
      <c r="U41" s="32"/>
      <c r="Z41" s="28" t="s">
        <v>30</v>
      </c>
      <c r="AA41" s="28">
        <v>7</v>
      </c>
      <c r="AC41" s="28" t="s">
        <v>33</v>
      </c>
      <c r="AE41" s="28" t="s">
        <v>29</v>
      </c>
    </row>
    <row r="42" spans="1:31" x14ac:dyDescent="0.2">
      <c r="A42" s="46" t="s">
        <v>149</v>
      </c>
      <c r="B42" s="48" t="s">
        <v>48</v>
      </c>
      <c r="C42" s="47">
        <v>51423.4</v>
      </c>
      <c r="D42" s="8"/>
      <c r="E42" s="28">
        <f t="shared" si="0"/>
        <v>1219.0044017498144</v>
      </c>
      <c r="F42" s="28">
        <f t="shared" si="1"/>
        <v>1219</v>
      </c>
      <c r="G42" s="28">
        <f t="shared" si="4"/>
        <v>6.4699999995355029E-2</v>
      </c>
      <c r="H42" s="28"/>
      <c r="I42" s="28">
        <f t="shared" si="6"/>
        <v>6.4699999995355029E-2</v>
      </c>
      <c r="J42" s="28"/>
      <c r="L42" s="28"/>
      <c r="M42" s="28"/>
      <c r="N42" s="28"/>
      <c r="O42" s="28">
        <f t="shared" ca="1" si="2"/>
        <v>7.3110704412603464E-2</v>
      </c>
      <c r="P42" s="28"/>
      <c r="Q42" s="30">
        <f t="shared" si="3"/>
        <v>36404.9</v>
      </c>
    </row>
    <row r="43" spans="1:31" x14ac:dyDescent="0.2">
      <c r="A43" s="46" t="s">
        <v>153</v>
      </c>
      <c r="B43" s="48" t="s">
        <v>48</v>
      </c>
      <c r="C43" s="47">
        <v>52878.59</v>
      </c>
      <c r="D43" s="8"/>
      <c r="E43" s="28">
        <f t="shared" si="0"/>
        <v>1318.005673971167</v>
      </c>
      <c r="F43" s="28">
        <f t="shared" si="1"/>
        <v>1318</v>
      </c>
      <c r="G43" s="28">
        <f t="shared" si="4"/>
        <v>8.3399999988614582E-2</v>
      </c>
      <c r="H43" s="28"/>
      <c r="I43" s="28">
        <f t="shared" si="6"/>
        <v>8.3399999988614582E-2</v>
      </c>
      <c r="J43" s="28"/>
      <c r="L43" s="28"/>
      <c r="M43" s="28"/>
      <c r="N43" s="28"/>
      <c r="O43" s="28">
        <f t="shared" ca="1" si="2"/>
        <v>8.308142265104973E-2</v>
      </c>
      <c r="P43" s="28"/>
      <c r="Q43" s="30">
        <f t="shared" si="3"/>
        <v>37860.089999999997</v>
      </c>
    </row>
    <row r="44" spans="1:31" x14ac:dyDescent="0.2">
      <c r="A44" s="46" t="s">
        <v>157</v>
      </c>
      <c r="B44" s="48" t="s">
        <v>48</v>
      </c>
      <c r="C44" s="47">
        <v>53657.625</v>
      </c>
      <c r="D44" s="8"/>
      <c r="E44" s="28">
        <f t="shared" si="0"/>
        <v>1371.0059393007543</v>
      </c>
      <c r="F44" s="28">
        <f t="shared" si="1"/>
        <v>1371</v>
      </c>
      <c r="G44" s="28">
        <f t="shared" si="4"/>
        <v>8.7299999999231659E-2</v>
      </c>
      <c r="H44" s="28"/>
      <c r="I44" s="28">
        <f t="shared" si="6"/>
        <v>8.7299999999231659E-2</v>
      </c>
      <c r="J44" s="28"/>
      <c r="L44" s="28"/>
      <c r="M44" s="28"/>
      <c r="N44" s="28"/>
      <c r="O44" s="28">
        <f t="shared" ca="1" si="2"/>
        <v>8.8419281910015912E-2</v>
      </c>
      <c r="P44" s="28"/>
      <c r="Q44" s="30">
        <f t="shared" si="3"/>
        <v>38639.125</v>
      </c>
    </row>
    <row r="45" spans="1:31" ht="12" customHeight="1" x14ac:dyDescent="0.2">
      <c r="A45" s="46" t="s">
        <v>164</v>
      </c>
      <c r="B45" s="48" t="s">
        <v>48</v>
      </c>
      <c r="C45" s="47">
        <v>55083.417999999998</v>
      </c>
      <c r="D45" s="8"/>
      <c r="E45" s="28">
        <f t="shared" si="0"/>
        <v>1468.007238735398</v>
      </c>
      <c r="F45" s="28">
        <f t="shared" si="1"/>
        <v>1468</v>
      </c>
      <c r="G45" s="28">
        <f t="shared" si="4"/>
        <v>0.10639999999693828</v>
      </c>
      <c r="H45" s="28"/>
      <c r="I45" s="28">
        <f t="shared" si="6"/>
        <v>0.10639999999693828</v>
      </c>
      <c r="J45" s="28"/>
      <c r="L45" s="28"/>
      <c r="M45" s="28"/>
      <c r="N45" s="28"/>
      <c r="O45" s="28">
        <f t="shared" ca="1" si="2"/>
        <v>9.818857149718041E-2</v>
      </c>
      <c r="P45" s="28"/>
      <c r="Q45" s="30">
        <f t="shared" si="3"/>
        <v>40064.917999999998</v>
      </c>
    </row>
    <row r="46" spans="1:31" ht="12" customHeight="1" x14ac:dyDescent="0.2">
      <c r="A46" s="49" t="s">
        <v>47</v>
      </c>
      <c r="B46" s="50" t="s">
        <v>48</v>
      </c>
      <c r="C46" s="51">
        <v>55083.418060000004</v>
      </c>
      <c r="D46" s="51">
        <v>1E-4</v>
      </c>
      <c r="E46" s="28">
        <f t="shared" si="0"/>
        <v>1468.0072428173921</v>
      </c>
      <c r="F46" s="28">
        <f t="shared" si="1"/>
        <v>1468</v>
      </c>
      <c r="G46" s="28">
        <f t="shared" si="4"/>
        <v>0.10646000000269851</v>
      </c>
      <c r="H46" s="28"/>
      <c r="J46" s="28"/>
      <c r="K46" s="28">
        <f t="shared" ref="K46:K51" si="7">+G46</f>
        <v>0.10646000000269851</v>
      </c>
      <c r="L46" s="28"/>
      <c r="M46" s="28"/>
      <c r="N46" s="28"/>
      <c r="O46" s="28">
        <f t="shared" ca="1" si="2"/>
        <v>9.818857149718041E-2</v>
      </c>
      <c r="P46" s="28"/>
      <c r="Q46" s="30">
        <f t="shared" si="3"/>
        <v>40064.918060000004</v>
      </c>
      <c r="U46" s="32"/>
    </row>
    <row r="47" spans="1:31" ht="12" customHeight="1" x14ac:dyDescent="0.2">
      <c r="A47" s="46" t="s">
        <v>170</v>
      </c>
      <c r="B47" s="48" t="s">
        <v>48</v>
      </c>
      <c r="C47" s="47">
        <v>55083.419099999999</v>
      </c>
      <c r="D47" s="8"/>
      <c r="E47" s="28">
        <f t="shared" si="0"/>
        <v>1468.0073135719483</v>
      </c>
      <c r="F47" s="28">
        <f t="shared" si="1"/>
        <v>1468</v>
      </c>
      <c r="G47" s="28">
        <f t="shared" si="4"/>
        <v>0.10749999999825377</v>
      </c>
      <c r="H47" s="28"/>
      <c r="J47" s="28"/>
      <c r="K47" s="28">
        <f t="shared" si="7"/>
        <v>0.10749999999825377</v>
      </c>
      <c r="L47" s="28"/>
      <c r="M47" s="28"/>
      <c r="N47" s="28"/>
      <c r="O47" s="28">
        <f t="shared" ca="1" si="2"/>
        <v>9.818857149718041E-2</v>
      </c>
      <c r="P47" s="28"/>
      <c r="Q47" s="30">
        <f t="shared" si="3"/>
        <v>40064.919099999999</v>
      </c>
    </row>
    <row r="48" spans="1:31" ht="12" customHeight="1" x14ac:dyDescent="0.2">
      <c r="A48" s="52" t="s">
        <v>49</v>
      </c>
      <c r="B48" s="50"/>
      <c r="C48" s="52">
        <v>56891.366699999999</v>
      </c>
      <c r="D48" s="52">
        <v>2.0999999999999999E-3</v>
      </c>
      <c r="E48" s="28">
        <f t="shared" si="0"/>
        <v>1591.007823821154</v>
      </c>
      <c r="F48" s="28">
        <f t="shared" si="1"/>
        <v>1591</v>
      </c>
      <c r="G48" s="28">
        <f t="shared" si="4"/>
        <v>0.11499999999068677</v>
      </c>
      <c r="H48" s="28"/>
      <c r="J48" s="28"/>
      <c r="K48" s="28">
        <f t="shared" si="7"/>
        <v>0.11499999999068677</v>
      </c>
      <c r="L48" s="28"/>
      <c r="M48" s="28"/>
      <c r="N48" s="28"/>
      <c r="O48" s="28">
        <f t="shared" ca="1" si="2"/>
        <v>0.1105764335510076</v>
      </c>
      <c r="P48" s="28"/>
      <c r="Q48" s="30">
        <f t="shared" si="3"/>
        <v>41872.866699999999</v>
      </c>
      <c r="U48" s="32"/>
    </row>
    <row r="49" spans="1:17" ht="12" customHeight="1" x14ac:dyDescent="0.2">
      <c r="A49" s="53" t="s">
        <v>0</v>
      </c>
      <c r="B49" s="54" t="s">
        <v>48</v>
      </c>
      <c r="C49" s="55">
        <v>57655.701000000001</v>
      </c>
      <c r="D49" s="55">
        <v>5.0000000000000001E-4</v>
      </c>
      <c r="E49" s="28">
        <f>+(C49-C$7)/C$8</f>
        <v>1643.0079530842861</v>
      </c>
      <c r="F49" s="28">
        <f t="shared" si="1"/>
        <v>1643</v>
      </c>
      <c r="G49" s="28">
        <f>+C49-(C$7+F49*C$8)</f>
        <v>0.11689999999362044</v>
      </c>
      <c r="H49" s="28"/>
      <c r="J49" s="28"/>
      <c r="K49" s="28">
        <f t="shared" si="7"/>
        <v>0.11689999999362044</v>
      </c>
      <c r="L49" s="28"/>
      <c r="M49" s="28"/>
      <c r="N49" s="28"/>
      <c r="O49" s="28">
        <f ca="1">+C$11+C$12*$F49</f>
        <v>0.11581357848433291</v>
      </c>
      <c r="P49" s="28"/>
      <c r="Q49" s="30">
        <f>+C49-15018.5</f>
        <v>42637.201000000001</v>
      </c>
    </row>
    <row r="50" spans="1:17" ht="12" customHeight="1" x14ac:dyDescent="0.2">
      <c r="A50" s="56" t="s">
        <v>177</v>
      </c>
      <c r="B50" s="57" t="s">
        <v>48</v>
      </c>
      <c r="C50" s="58">
        <v>59081.474800000004</v>
      </c>
      <c r="D50" s="56">
        <v>2.5000000000000001E-3</v>
      </c>
      <c r="E50" s="28">
        <f>+(C50-C$7)/C$8</f>
        <v>1740.0079462809636</v>
      </c>
      <c r="F50" s="28">
        <f t="shared" ref="F50" si="8">ROUND(2*E50,0)/2</f>
        <v>1740</v>
      </c>
      <c r="G50" s="28">
        <f>+C50-(C$7+F50*C$8)</f>
        <v>0.11679999999614665</v>
      </c>
      <c r="H50" s="28"/>
      <c r="J50" s="28"/>
      <c r="K50" s="28">
        <f t="shared" si="7"/>
        <v>0.11679999999614665</v>
      </c>
      <c r="L50" s="28"/>
      <c r="M50" s="28"/>
      <c r="N50" s="28"/>
      <c r="O50" s="28">
        <f ca="1">+C$11+C$12*$F50</f>
        <v>0.12558286807149743</v>
      </c>
      <c r="P50" s="28"/>
      <c r="Q50" s="30">
        <f>+C50-15018.5</f>
        <v>44062.974800000004</v>
      </c>
    </row>
    <row r="51" spans="1:17" ht="12" customHeight="1" x14ac:dyDescent="0.2">
      <c r="A51" s="59" t="s">
        <v>178</v>
      </c>
      <c r="B51" s="60" t="s">
        <v>48</v>
      </c>
      <c r="C51" s="58">
        <v>59169.667999999998</v>
      </c>
      <c r="D51" s="56">
        <v>4.3E-3</v>
      </c>
      <c r="E51" s="28">
        <f>+(C51-C$7)/C$8</f>
        <v>1746.0080143141906</v>
      </c>
      <c r="F51" s="28">
        <f t="shared" ref="F51" si="9">ROUND(2*E51,0)/2</f>
        <v>1746</v>
      </c>
      <c r="G51" s="28">
        <f>+C51-(C$7+F51*C$8)</f>
        <v>0.1177999999927124</v>
      </c>
      <c r="H51" s="28"/>
      <c r="J51" s="28"/>
      <c r="K51" s="28">
        <f t="shared" si="7"/>
        <v>0.1177999999927124</v>
      </c>
      <c r="L51" s="28"/>
      <c r="M51" s="28"/>
      <c r="N51" s="28"/>
      <c r="O51" s="28">
        <f ca="1">+C$11+C$12*$F51</f>
        <v>0.12618715402534264</v>
      </c>
      <c r="P51" s="28"/>
      <c r="Q51" s="30">
        <f>+C51-15018.5</f>
        <v>44151.167999999998</v>
      </c>
    </row>
    <row r="52" spans="1:17" ht="12" customHeight="1" x14ac:dyDescent="0.2">
      <c r="B52" s="14"/>
      <c r="C52" s="8"/>
      <c r="D52" s="8"/>
    </row>
    <row r="53" spans="1:17" ht="12" customHeight="1" x14ac:dyDescent="0.2">
      <c r="B53" s="14"/>
      <c r="C53" s="8"/>
      <c r="D53" s="8"/>
    </row>
    <row r="54" spans="1:17" ht="12" customHeight="1" x14ac:dyDescent="0.2">
      <c r="B54" s="14"/>
      <c r="C54" s="8"/>
      <c r="D54" s="8"/>
    </row>
    <row r="55" spans="1:17" ht="12" customHeight="1" x14ac:dyDescent="0.2">
      <c r="B55" s="14"/>
      <c r="C55" s="8"/>
      <c r="D55" s="8"/>
    </row>
    <row r="56" spans="1:17" ht="12" customHeight="1" x14ac:dyDescent="0.2">
      <c r="B56" s="14"/>
      <c r="C56" s="8"/>
      <c r="D56" s="8"/>
    </row>
    <row r="57" spans="1:17" ht="12" customHeight="1" x14ac:dyDescent="0.2">
      <c r="B57" s="14"/>
      <c r="C57" s="8"/>
      <c r="D57" s="8"/>
    </row>
    <row r="58" spans="1:17" ht="12" customHeight="1" x14ac:dyDescent="0.2">
      <c r="B58" s="14"/>
      <c r="C58" s="8"/>
      <c r="D58" s="8"/>
    </row>
    <row r="59" spans="1:17" ht="12" customHeight="1" x14ac:dyDescent="0.2">
      <c r="B59" s="14"/>
      <c r="C59" s="8"/>
      <c r="D59" s="8"/>
    </row>
    <row r="60" spans="1:17" ht="12" customHeight="1" x14ac:dyDescent="0.2">
      <c r="B60" s="14"/>
      <c r="C60" s="8"/>
      <c r="D60" s="8"/>
    </row>
    <row r="61" spans="1:17" ht="12" customHeight="1" x14ac:dyDescent="0.2">
      <c r="B61" s="14"/>
      <c r="C61" s="8"/>
      <c r="D61" s="8"/>
    </row>
    <row r="62" spans="1:17" ht="12" customHeight="1" x14ac:dyDescent="0.2">
      <c r="B62" s="14"/>
      <c r="C62" s="8"/>
      <c r="D62" s="8"/>
    </row>
    <row r="63" spans="1:17" ht="12" customHeight="1" x14ac:dyDescent="0.2">
      <c r="B63" s="14"/>
      <c r="C63" s="8"/>
      <c r="D63" s="8"/>
    </row>
    <row r="64" spans="1:17" ht="12" customHeight="1" x14ac:dyDescent="0.2">
      <c r="B64" s="14"/>
      <c r="C64" s="8"/>
      <c r="D64" s="8"/>
    </row>
    <row r="65" spans="2:4" ht="12" customHeight="1" x14ac:dyDescent="0.2">
      <c r="B65" s="14"/>
      <c r="C65" s="8"/>
      <c r="D65" s="8"/>
    </row>
    <row r="66" spans="2:4" x14ac:dyDescent="0.2">
      <c r="B66" s="14"/>
      <c r="C66" s="8"/>
      <c r="D66" s="8"/>
    </row>
    <row r="67" spans="2:4" x14ac:dyDescent="0.2">
      <c r="C67" s="8"/>
      <c r="D67" s="8"/>
    </row>
    <row r="68" spans="2:4" x14ac:dyDescent="0.2">
      <c r="C68" s="8"/>
      <c r="D68" s="8"/>
    </row>
    <row r="69" spans="2:4" x14ac:dyDescent="0.2">
      <c r="C69" s="8"/>
      <c r="D69" s="8"/>
    </row>
    <row r="70" spans="2:4" x14ac:dyDescent="0.2">
      <c r="C70" s="8"/>
      <c r="D70" s="8"/>
    </row>
    <row r="71" spans="2:4" x14ac:dyDescent="0.2">
      <c r="C71" s="8"/>
      <c r="D71" s="8"/>
    </row>
    <row r="72" spans="2:4" x14ac:dyDescent="0.2">
      <c r="C72" s="8"/>
      <c r="D72" s="8"/>
    </row>
    <row r="73" spans="2:4" x14ac:dyDescent="0.2">
      <c r="C73" s="8"/>
      <c r="D73" s="8"/>
    </row>
    <row r="74" spans="2:4" x14ac:dyDescent="0.2">
      <c r="C74" s="8"/>
      <c r="D74" s="8"/>
    </row>
    <row r="75" spans="2:4" x14ac:dyDescent="0.2">
      <c r="C75" s="8"/>
      <c r="D75" s="8"/>
    </row>
    <row r="76" spans="2:4" x14ac:dyDescent="0.2">
      <c r="C76" s="8"/>
      <c r="D76" s="8"/>
    </row>
    <row r="77" spans="2:4" x14ac:dyDescent="0.2">
      <c r="C77" s="8"/>
      <c r="D77" s="8"/>
    </row>
    <row r="78" spans="2:4" x14ac:dyDescent="0.2">
      <c r="C78" s="8"/>
      <c r="D78" s="8"/>
    </row>
    <row r="79" spans="2:4" x14ac:dyDescent="0.2">
      <c r="C79" s="8"/>
      <c r="D79" s="8"/>
    </row>
    <row r="80" spans="2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8" type="noConversion"/>
  <hyperlinks>
    <hyperlink ref="H63525" r:id="rId1" display="http://vsolj.cetus-net.org/bulletin.html" xr:uid="{00000000-0004-0000-0000-000000000000}"/>
    <hyperlink ref="H63518" r:id="rId2" display="https://www.aavso.org/ejaavso" xr:uid="{00000000-0004-0000-0000-000001000000}"/>
    <hyperlink ref="AP381" r:id="rId3" display="http://cdsbib.u-strasbg.fr/cgi-bin/cdsbib?1990RMxAA..21..381G" xr:uid="{00000000-0004-0000-0000-000002000000}"/>
    <hyperlink ref="AP378" r:id="rId4" display="http://cdsbib.u-strasbg.fr/cgi-bin/cdsbib?1990RMxAA..21..381G" xr:uid="{00000000-0004-0000-0000-000003000000}"/>
    <hyperlink ref="AP380" r:id="rId5" display="http://cdsbib.u-strasbg.fr/cgi-bin/cdsbib?1990RMxAA..21..381G" xr:uid="{00000000-0004-0000-0000-000004000000}"/>
    <hyperlink ref="AP356" r:id="rId6" display="http://cdsbib.u-strasbg.fr/cgi-bin/cdsbib?1990RMxAA..21..381G" xr:uid="{00000000-0004-0000-0000-000005000000}"/>
    <hyperlink ref="I63525" r:id="rId7" display="http://vsolj.cetus-net.org/bulletin.html" xr:uid="{00000000-0004-0000-0000-000006000000}"/>
    <hyperlink ref="AQ517" r:id="rId8" display="http://cdsbib.u-strasbg.fr/cgi-bin/cdsbib?1990RMxAA..21..381G" xr:uid="{00000000-0004-0000-0000-000007000000}"/>
    <hyperlink ref="AQ2161" r:id="rId9" display="http://cdsbib.u-strasbg.fr/cgi-bin/cdsbib?1990RMxAA..21..381G" xr:uid="{00000000-0004-0000-0000-000008000000}"/>
    <hyperlink ref="AQ518" r:id="rId10" display="http://cdsbib.u-strasbg.fr/cgi-bin/cdsbib?1990RMxAA..21..381G" xr:uid="{00000000-0004-0000-0000-000009000000}"/>
    <hyperlink ref="H63522" r:id="rId11" display="https://www.aavso.org/ejaavso" xr:uid="{00000000-0004-0000-0000-00000A000000}"/>
    <hyperlink ref="H1368" r:id="rId12" display="http://vsolj.cetus-net.org/bulletin.html" xr:uid="{00000000-0004-0000-0000-00000B000000}"/>
    <hyperlink ref="AP4606" r:id="rId13" display="http://cdsbib.u-strasbg.fr/cgi-bin/cdsbib?1990RMxAA..21..381G" xr:uid="{00000000-0004-0000-0000-00000C000000}"/>
    <hyperlink ref="AP4609" r:id="rId14" display="http://cdsbib.u-strasbg.fr/cgi-bin/cdsbib?1990RMxAA..21..381G" xr:uid="{00000000-0004-0000-0000-00000D000000}"/>
    <hyperlink ref="AP4607" r:id="rId15" display="http://cdsbib.u-strasbg.fr/cgi-bin/cdsbib?1990RMxAA..21..381G" xr:uid="{00000000-0004-0000-0000-00000E000000}"/>
    <hyperlink ref="AP4585" r:id="rId16" display="http://cdsbib.u-strasbg.fr/cgi-bin/cdsbib?1990RMxAA..21..381G" xr:uid="{00000000-0004-0000-0000-00000F000000}"/>
    <hyperlink ref="I1368" r:id="rId17" display="http://vsolj.cetus-net.org/bulletin.html" xr:uid="{00000000-0004-0000-0000-000010000000}"/>
    <hyperlink ref="AQ4719" r:id="rId18" display="http://cdsbib.u-strasbg.fr/cgi-bin/cdsbib?1990RMxAA..21..381G" xr:uid="{00000000-0004-0000-0000-000011000000}"/>
    <hyperlink ref="AQ64802" r:id="rId19" display="http://cdsbib.u-strasbg.fr/cgi-bin/cdsbib?1990RMxAA..21..381G" xr:uid="{00000000-0004-0000-0000-000012000000}"/>
    <hyperlink ref="AQ472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workbookViewId="0">
      <selection activeCell="A17" sqref="A17:C37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3" t="s">
        <v>57</v>
      </c>
      <c r="I1" s="34" t="s">
        <v>58</v>
      </c>
      <c r="J1" s="35" t="s">
        <v>53</v>
      </c>
    </row>
    <row r="2" spans="1:16" x14ac:dyDescent="0.2">
      <c r="I2" s="36" t="s">
        <v>59</v>
      </c>
      <c r="J2" s="37" t="s">
        <v>52</v>
      </c>
    </row>
    <row r="3" spans="1:16" x14ac:dyDescent="0.2">
      <c r="A3" s="38" t="s">
        <v>60</v>
      </c>
      <c r="I3" s="36" t="s">
        <v>61</v>
      </c>
      <c r="J3" s="37" t="s">
        <v>50</v>
      </c>
    </row>
    <row r="4" spans="1:16" x14ac:dyDescent="0.2">
      <c r="I4" s="36" t="s">
        <v>62</v>
      </c>
      <c r="J4" s="37" t="s">
        <v>50</v>
      </c>
    </row>
    <row r="5" spans="1:16" ht="13.5" thickBot="1" x14ac:dyDescent="0.25">
      <c r="I5" s="39" t="s">
        <v>63</v>
      </c>
      <c r="J5" s="40" t="s">
        <v>51</v>
      </c>
    </row>
    <row r="10" spans="1:16" ht="13.5" thickBot="1" x14ac:dyDescent="0.25"/>
    <row r="11" spans="1:16" ht="12.75" customHeight="1" thickBot="1" x14ac:dyDescent="0.25">
      <c r="A11" s="8" t="str">
        <f t="shared" ref="A11:A37" si="0">P11</f>
        <v> AAC 5.51 </v>
      </c>
      <c r="B11" s="14" t="str">
        <f t="shared" ref="B11:B37" si="1">IF(H11=INT(H11),"I","II")</f>
        <v>I</v>
      </c>
      <c r="C11" s="8">
        <f t="shared" ref="C11:C37" si="2">1*G11</f>
        <v>33505.620000000003</v>
      </c>
      <c r="D11" s="11" t="str">
        <f t="shared" ref="D11:D37" si="3">VLOOKUP(F11,I$1:J$5,2,FALSE)</f>
        <v>vis</v>
      </c>
      <c r="E11" s="41">
        <f>VLOOKUP(C11,Active!C$21:E$973,3,FALSE)</f>
        <v>0</v>
      </c>
      <c r="F11" s="14" t="s">
        <v>63</v>
      </c>
      <c r="G11" s="11" t="str">
        <f t="shared" ref="G11:G37" si="4">MID(I11,3,LEN(I11)-3)</f>
        <v>33505.62</v>
      </c>
      <c r="H11" s="8">
        <f t="shared" ref="H11:H37" si="5">1*K11</f>
        <v>0</v>
      </c>
      <c r="I11" s="42" t="s">
        <v>89</v>
      </c>
      <c r="J11" s="43" t="s">
        <v>90</v>
      </c>
      <c r="K11" s="42">
        <v>0</v>
      </c>
      <c r="L11" s="42" t="s">
        <v>91</v>
      </c>
      <c r="M11" s="43" t="s">
        <v>88</v>
      </c>
      <c r="N11" s="43"/>
      <c r="O11" s="44" t="s">
        <v>92</v>
      </c>
      <c r="P11" s="44" t="s">
        <v>93</v>
      </c>
    </row>
    <row r="12" spans="1:16" ht="12.75" customHeight="1" thickBot="1" x14ac:dyDescent="0.25">
      <c r="A12" s="8" t="str">
        <f t="shared" si="0"/>
        <v> BBS 39 </v>
      </c>
      <c r="B12" s="14" t="str">
        <f t="shared" si="1"/>
        <v>I</v>
      </c>
      <c r="C12" s="8">
        <f t="shared" si="2"/>
        <v>43765.32</v>
      </c>
      <c r="D12" s="11" t="str">
        <f t="shared" si="3"/>
        <v>vis</v>
      </c>
      <c r="E12" s="41">
        <f>VLOOKUP(C12,Active!C$21:E$973,3,FALSE)</f>
        <v>698.00050344588271</v>
      </c>
      <c r="F12" s="14" t="s">
        <v>63</v>
      </c>
      <c r="G12" s="11" t="str">
        <f t="shared" si="4"/>
        <v>43765.320</v>
      </c>
      <c r="H12" s="8">
        <f t="shared" si="5"/>
        <v>698</v>
      </c>
      <c r="I12" s="42" t="s">
        <v>127</v>
      </c>
      <c r="J12" s="43" t="s">
        <v>128</v>
      </c>
      <c r="K12" s="42">
        <v>698</v>
      </c>
      <c r="L12" s="42" t="s">
        <v>129</v>
      </c>
      <c r="M12" s="43" t="s">
        <v>88</v>
      </c>
      <c r="N12" s="43"/>
      <c r="O12" s="44" t="s">
        <v>130</v>
      </c>
      <c r="P12" s="44" t="s">
        <v>131</v>
      </c>
    </row>
    <row r="13" spans="1:16" ht="12.75" customHeight="1" thickBot="1" x14ac:dyDescent="0.25">
      <c r="A13" s="8" t="str">
        <f t="shared" si="0"/>
        <v> VSSC 60.22 </v>
      </c>
      <c r="B13" s="14" t="str">
        <f t="shared" si="1"/>
        <v>I</v>
      </c>
      <c r="C13" s="8">
        <f t="shared" si="2"/>
        <v>45573.322999999997</v>
      </c>
      <c r="D13" s="11" t="str">
        <f t="shared" si="3"/>
        <v>vis</v>
      </c>
      <c r="E13" s="41">
        <f>VLOOKUP(C13,Active!C$21:E$973,3,FALSE)</f>
        <v>821.00478273588783</v>
      </c>
      <c r="F13" s="14" t="s">
        <v>63</v>
      </c>
      <c r="G13" s="11" t="str">
        <f t="shared" si="4"/>
        <v>45573.323</v>
      </c>
      <c r="H13" s="8">
        <f t="shared" si="5"/>
        <v>821</v>
      </c>
      <c r="I13" s="42" t="s">
        <v>132</v>
      </c>
      <c r="J13" s="43" t="s">
        <v>133</v>
      </c>
      <c r="K13" s="42">
        <v>821</v>
      </c>
      <c r="L13" s="42" t="s">
        <v>134</v>
      </c>
      <c r="M13" s="43" t="s">
        <v>88</v>
      </c>
      <c r="N13" s="43"/>
      <c r="O13" s="44" t="s">
        <v>135</v>
      </c>
      <c r="P13" s="44" t="s">
        <v>136</v>
      </c>
    </row>
    <row r="14" spans="1:16" ht="12.75" customHeight="1" thickBot="1" x14ac:dyDescent="0.25">
      <c r="A14" s="8" t="str">
        <f t="shared" si="0"/>
        <v> BBS 78 </v>
      </c>
      <c r="B14" s="14" t="str">
        <f t="shared" si="1"/>
        <v>I</v>
      </c>
      <c r="C14" s="8">
        <f t="shared" si="2"/>
        <v>46352.31</v>
      </c>
      <c r="D14" s="11" t="str">
        <f t="shared" si="3"/>
        <v>vis</v>
      </c>
      <c r="E14" s="41">
        <f>VLOOKUP(C14,Active!C$21:E$973,3,FALSE)</f>
        <v>874.00178247055828</v>
      </c>
      <c r="F14" s="14" t="s">
        <v>63</v>
      </c>
      <c r="G14" s="11" t="str">
        <f t="shared" si="4"/>
        <v>46352.31</v>
      </c>
      <c r="H14" s="8">
        <f t="shared" si="5"/>
        <v>874</v>
      </c>
      <c r="I14" s="42" t="s">
        <v>137</v>
      </c>
      <c r="J14" s="43" t="s">
        <v>138</v>
      </c>
      <c r="K14" s="42">
        <v>874</v>
      </c>
      <c r="L14" s="42" t="s">
        <v>96</v>
      </c>
      <c r="M14" s="43" t="s">
        <v>88</v>
      </c>
      <c r="N14" s="43"/>
      <c r="O14" s="44" t="s">
        <v>139</v>
      </c>
      <c r="P14" s="44" t="s">
        <v>140</v>
      </c>
    </row>
    <row r="15" spans="1:16" ht="12.75" customHeight="1" thickBot="1" x14ac:dyDescent="0.25">
      <c r="A15" s="8" t="str">
        <f t="shared" si="0"/>
        <v> BBS 107 </v>
      </c>
      <c r="B15" s="14" t="str">
        <f t="shared" si="1"/>
        <v>I</v>
      </c>
      <c r="C15" s="8">
        <f t="shared" si="2"/>
        <v>49615.451000000001</v>
      </c>
      <c r="D15" s="11" t="str">
        <f t="shared" si="3"/>
        <v>vis</v>
      </c>
      <c r="E15" s="41">
        <f>VLOOKUP(C15,Active!C$21:E$973,3,FALSE)</f>
        <v>1096.0037962540903</v>
      </c>
      <c r="F15" s="14" t="s">
        <v>63</v>
      </c>
      <c r="G15" s="11" t="str">
        <f t="shared" si="4"/>
        <v>49615.451</v>
      </c>
      <c r="H15" s="8">
        <f t="shared" si="5"/>
        <v>1096</v>
      </c>
      <c r="I15" s="42" t="s">
        <v>141</v>
      </c>
      <c r="J15" s="43" t="s">
        <v>142</v>
      </c>
      <c r="K15" s="42">
        <v>1096</v>
      </c>
      <c r="L15" s="42" t="s">
        <v>143</v>
      </c>
      <c r="M15" s="43" t="s">
        <v>88</v>
      </c>
      <c r="N15" s="43"/>
      <c r="O15" s="44" t="s">
        <v>139</v>
      </c>
      <c r="P15" s="44" t="s">
        <v>144</v>
      </c>
    </row>
    <row r="16" spans="1:16" ht="12.75" customHeight="1" thickBot="1" x14ac:dyDescent="0.25">
      <c r="A16" s="8" t="str">
        <f t="shared" si="0"/>
        <v>BAVM 239 </v>
      </c>
      <c r="B16" s="14" t="str">
        <f t="shared" si="1"/>
        <v>I</v>
      </c>
      <c r="C16" s="8">
        <f t="shared" si="2"/>
        <v>56891.366699999999</v>
      </c>
      <c r="D16" s="11" t="str">
        <f t="shared" si="3"/>
        <v>vis</v>
      </c>
      <c r="E16" s="41">
        <f>VLOOKUP(C16,Active!C$21:E$973,3,FALSE)</f>
        <v>1591.007823821154</v>
      </c>
      <c r="F16" s="14" t="s">
        <v>63</v>
      </c>
      <c r="G16" s="11" t="str">
        <f t="shared" si="4"/>
        <v>56891.3667</v>
      </c>
      <c r="H16" s="8">
        <f t="shared" si="5"/>
        <v>1591</v>
      </c>
      <c r="I16" s="42" t="s">
        <v>171</v>
      </c>
      <c r="J16" s="43" t="s">
        <v>172</v>
      </c>
      <c r="K16" s="42" t="s">
        <v>173</v>
      </c>
      <c r="L16" s="42" t="s">
        <v>174</v>
      </c>
      <c r="M16" s="43" t="s">
        <v>161</v>
      </c>
      <c r="N16" s="43" t="s">
        <v>168</v>
      </c>
      <c r="O16" s="44" t="s">
        <v>175</v>
      </c>
      <c r="P16" s="45" t="s">
        <v>176</v>
      </c>
    </row>
    <row r="17" spans="1:16" ht="12.75" customHeight="1" thickBot="1" x14ac:dyDescent="0.25">
      <c r="A17" s="8" t="str">
        <f t="shared" si="0"/>
        <v> HA 113.75 </v>
      </c>
      <c r="B17" s="14" t="str">
        <f t="shared" si="1"/>
        <v>I</v>
      </c>
      <c r="C17" s="8">
        <f t="shared" si="2"/>
        <v>25640.97</v>
      </c>
      <c r="D17" s="11" t="str">
        <f t="shared" si="3"/>
        <v>vis</v>
      </c>
      <c r="E17" s="41">
        <f>VLOOKUP(C17,Active!C$21:E$973,3,FALSE)</f>
        <v>-535.05752209379068</v>
      </c>
      <c r="F17" s="14" t="s">
        <v>63</v>
      </c>
      <c r="G17" s="11" t="str">
        <f t="shared" si="4"/>
        <v>25640.970</v>
      </c>
      <c r="H17" s="8">
        <f t="shared" si="5"/>
        <v>-535</v>
      </c>
      <c r="I17" s="42" t="s">
        <v>65</v>
      </c>
      <c r="J17" s="43" t="s">
        <v>66</v>
      </c>
      <c r="K17" s="42">
        <v>-535</v>
      </c>
      <c r="L17" s="42" t="s">
        <v>67</v>
      </c>
      <c r="M17" s="43" t="s">
        <v>64</v>
      </c>
      <c r="N17" s="43"/>
      <c r="O17" s="44" t="s">
        <v>68</v>
      </c>
      <c r="P17" s="44" t="s">
        <v>69</v>
      </c>
    </row>
    <row r="18" spans="1:16" ht="12.75" customHeight="1" thickBot="1" x14ac:dyDescent="0.25">
      <c r="A18" s="8" t="str">
        <f t="shared" si="0"/>
        <v> AN 255.421 </v>
      </c>
      <c r="B18" s="14" t="str">
        <f t="shared" si="1"/>
        <v>I</v>
      </c>
      <c r="C18" s="8">
        <f t="shared" si="2"/>
        <v>25862.438999999998</v>
      </c>
      <c r="D18" s="11" t="str">
        <f t="shared" si="3"/>
        <v>vis</v>
      </c>
      <c r="E18" s="41">
        <f>VLOOKUP(C18,Active!C$21:E$973,3,FALSE)</f>
        <v>-519.99027124847805</v>
      </c>
      <c r="F18" s="14" t="s">
        <v>63</v>
      </c>
      <c r="G18" s="11" t="str">
        <f t="shared" si="4"/>
        <v>25862.439</v>
      </c>
      <c r="H18" s="8">
        <f t="shared" si="5"/>
        <v>-520</v>
      </c>
      <c r="I18" s="42" t="s">
        <v>70</v>
      </c>
      <c r="J18" s="43" t="s">
        <v>71</v>
      </c>
      <c r="K18" s="42">
        <v>-520</v>
      </c>
      <c r="L18" s="42" t="s">
        <v>72</v>
      </c>
      <c r="M18" s="43" t="s">
        <v>73</v>
      </c>
      <c r="N18" s="43"/>
      <c r="O18" s="44" t="s">
        <v>74</v>
      </c>
      <c r="P18" s="44" t="s">
        <v>75</v>
      </c>
    </row>
    <row r="19" spans="1:16" ht="12.75" customHeight="1" thickBot="1" x14ac:dyDescent="0.25">
      <c r="A19" s="8" t="str">
        <f t="shared" si="0"/>
        <v> AN 255.421 </v>
      </c>
      <c r="B19" s="14" t="str">
        <f t="shared" si="1"/>
        <v>I</v>
      </c>
      <c r="C19" s="8">
        <f t="shared" si="2"/>
        <v>26185.478999999999</v>
      </c>
      <c r="D19" s="11" t="str">
        <f t="shared" si="3"/>
        <v>vis</v>
      </c>
      <c r="E19" s="41">
        <f>VLOOKUP(C19,Active!C$21:E$973,3,FALSE)</f>
        <v>-498.0128174600477</v>
      </c>
      <c r="F19" s="14" t="s">
        <v>63</v>
      </c>
      <c r="G19" s="11" t="str">
        <f t="shared" si="4"/>
        <v>26185.479</v>
      </c>
      <c r="H19" s="8">
        <f t="shared" si="5"/>
        <v>-498</v>
      </c>
      <c r="I19" s="42" t="s">
        <v>76</v>
      </c>
      <c r="J19" s="43" t="s">
        <v>77</v>
      </c>
      <c r="K19" s="42">
        <v>-498</v>
      </c>
      <c r="L19" s="42" t="s">
        <v>78</v>
      </c>
      <c r="M19" s="43" t="s">
        <v>73</v>
      </c>
      <c r="N19" s="43"/>
      <c r="O19" s="44" t="s">
        <v>74</v>
      </c>
      <c r="P19" s="44" t="s">
        <v>75</v>
      </c>
    </row>
    <row r="20" spans="1:16" ht="12.75" customHeight="1" thickBot="1" x14ac:dyDescent="0.25">
      <c r="A20" s="8" t="str">
        <f t="shared" si="0"/>
        <v> AN 255.421 </v>
      </c>
      <c r="B20" s="14" t="str">
        <f t="shared" si="1"/>
        <v>I</v>
      </c>
      <c r="C20" s="8">
        <f t="shared" si="2"/>
        <v>26244.392</v>
      </c>
      <c r="D20" s="11" t="str">
        <f t="shared" si="3"/>
        <v>vis</v>
      </c>
      <c r="E20" s="41">
        <f>VLOOKUP(C20,Active!C$21:E$973,3,FALSE)</f>
        <v>-494.00477593256562</v>
      </c>
      <c r="F20" s="14" t="s">
        <v>63</v>
      </c>
      <c r="G20" s="11" t="str">
        <f t="shared" si="4"/>
        <v>26244.392</v>
      </c>
      <c r="H20" s="8">
        <f t="shared" si="5"/>
        <v>-494</v>
      </c>
      <c r="I20" s="42" t="s">
        <v>79</v>
      </c>
      <c r="J20" s="43" t="s">
        <v>80</v>
      </c>
      <c r="K20" s="42">
        <v>-494</v>
      </c>
      <c r="L20" s="42" t="s">
        <v>81</v>
      </c>
      <c r="M20" s="43" t="s">
        <v>73</v>
      </c>
      <c r="N20" s="43"/>
      <c r="O20" s="44" t="s">
        <v>74</v>
      </c>
      <c r="P20" s="44" t="s">
        <v>75</v>
      </c>
    </row>
    <row r="21" spans="1:16" ht="12.75" customHeight="1" thickBot="1" x14ac:dyDescent="0.25">
      <c r="A21" s="8" t="str">
        <f t="shared" si="0"/>
        <v> AN 255.421 </v>
      </c>
      <c r="B21" s="14" t="str">
        <f t="shared" si="1"/>
        <v>I</v>
      </c>
      <c r="C21" s="8">
        <f t="shared" si="2"/>
        <v>26979.493999999999</v>
      </c>
      <c r="D21" s="11" t="str">
        <f t="shared" si="3"/>
        <v>vis</v>
      </c>
      <c r="E21" s="41">
        <f>VLOOKUP(C21,Active!C$21:E$973,3,FALSE)</f>
        <v>-443.99341438358516</v>
      </c>
      <c r="F21" s="14" t="s">
        <v>63</v>
      </c>
      <c r="G21" s="11" t="str">
        <f t="shared" si="4"/>
        <v>26979.494</v>
      </c>
      <c r="H21" s="8">
        <f t="shared" si="5"/>
        <v>-444</v>
      </c>
      <c r="I21" s="42" t="s">
        <v>82</v>
      </c>
      <c r="J21" s="43" t="s">
        <v>83</v>
      </c>
      <c r="K21" s="42">
        <v>-444</v>
      </c>
      <c r="L21" s="42" t="s">
        <v>84</v>
      </c>
      <c r="M21" s="43" t="s">
        <v>73</v>
      </c>
      <c r="N21" s="43"/>
      <c r="O21" s="44" t="s">
        <v>74</v>
      </c>
      <c r="P21" s="44" t="s">
        <v>75</v>
      </c>
    </row>
    <row r="22" spans="1:16" ht="12.75" customHeight="1" thickBot="1" x14ac:dyDescent="0.25">
      <c r="A22" s="8" t="str">
        <f t="shared" si="0"/>
        <v> AN 255.421 </v>
      </c>
      <c r="B22" s="14" t="str">
        <f t="shared" si="1"/>
        <v>I</v>
      </c>
      <c r="C22" s="8">
        <f t="shared" si="2"/>
        <v>27699.603999999999</v>
      </c>
      <c r="D22" s="11" t="str">
        <f t="shared" si="3"/>
        <v>vis</v>
      </c>
      <c r="E22" s="41">
        <f>VLOOKUP(C22,Active!C$21:E$973,3,FALSE)</f>
        <v>-395.00200698020933</v>
      </c>
      <c r="F22" s="14" t="s">
        <v>63</v>
      </c>
      <c r="G22" s="11" t="str">
        <f t="shared" si="4"/>
        <v>27699.604</v>
      </c>
      <c r="H22" s="8">
        <f t="shared" si="5"/>
        <v>-395</v>
      </c>
      <c r="I22" s="42" t="s">
        <v>85</v>
      </c>
      <c r="J22" s="43" t="s">
        <v>86</v>
      </c>
      <c r="K22" s="42">
        <v>-395</v>
      </c>
      <c r="L22" s="42" t="s">
        <v>87</v>
      </c>
      <c r="M22" s="43" t="s">
        <v>88</v>
      </c>
      <c r="N22" s="43"/>
      <c r="O22" s="44" t="s">
        <v>74</v>
      </c>
      <c r="P22" s="44" t="s">
        <v>75</v>
      </c>
    </row>
    <row r="23" spans="1:16" ht="12.75" customHeight="1" thickBot="1" x14ac:dyDescent="0.25">
      <c r="A23" s="8" t="str">
        <f t="shared" si="0"/>
        <v> AAC 5.11 </v>
      </c>
      <c r="B23" s="14" t="str">
        <f t="shared" si="1"/>
        <v>I</v>
      </c>
      <c r="C23" s="8">
        <f t="shared" si="2"/>
        <v>33505.65</v>
      </c>
      <c r="D23" s="11" t="str">
        <f t="shared" si="3"/>
        <v>vis</v>
      </c>
      <c r="E23" s="41">
        <f>VLOOKUP(C23,Active!C$21:E$973,3,FALSE)</f>
        <v>2.0409968227690779E-3</v>
      </c>
      <c r="F23" s="14" t="s">
        <v>63</v>
      </c>
      <c r="G23" s="11" t="str">
        <f t="shared" si="4"/>
        <v>33505.65</v>
      </c>
      <c r="H23" s="8">
        <f t="shared" si="5"/>
        <v>0</v>
      </c>
      <c r="I23" s="42" t="s">
        <v>94</v>
      </c>
      <c r="J23" s="43" t="s">
        <v>95</v>
      </c>
      <c r="K23" s="42">
        <v>0</v>
      </c>
      <c r="L23" s="42" t="s">
        <v>96</v>
      </c>
      <c r="M23" s="43" t="s">
        <v>88</v>
      </c>
      <c r="N23" s="43"/>
      <c r="O23" s="44" t="s">
        <v>92</v>
      </c>
      <c r="P23" s="44" t="s">
        <v>97</v>
      </c>
    </row>
    <row r="24" spans="1:16" ht="12.75" customHeight="1" thickBot="1" x14ac:dyDescent="0.25">
      <c r="A24" s="8" t="str">
        <f t="shared" si="0"/>
        <v> AC 1199 </v>
      </c>
      <c r="B24" s="14" t="str">
        <f t="shared" si="1"/>
        <v>I</v>
      </c>
      <c r="C24" s="8">
        <f t="shared" si="2"/>
        <v>36401.5</v>
      </c>
      <c r="D24" s="11" t="str">
        <f t="shared" si="3"/>
        <v>vis</v>
      </c>
      <c r="E24" s="41">
        <f>VLOOKUP(C24,Active!C$21:E$973,3,FALSE)</f>
        <v>197.01606264499563</v>
      </c>
      <c r="F24" s="14" t="s">
        <v>63</v>
      </c>
      <c r="G24" s="11" t="str">
        <f t="shared" si="4"/>
        <v>36401.50</v>
      </c>
      <c r="H24" s="8">
        <f t="shared" si="5"/>
        <v>197</v>
      </c>
      <c r="I24" s="42" t="s">
        <v>98</v>
      </c>
      <c r="J24" s="43" t="s">
        <v>99</v>
      </c>
      <c r="K24" s="42">
        <v>197</v>
      </c>
      <c r="L24" s="42" t="s">
        <v>100</v>
      </c>
      <c r="M24" s="43" t="s">
        <v>73</v>
      </c>
      <c r="N24" s="43"/>
      <c r="O24" s="44" t="s">
        <v>101</v>
      </c>
      <c r="P24" s="44" t="s">
        <v>102</v>
      </c>
    </row>
    <row r="25" spans="1:16" ht="12.75" customHeight="1" thickBot="1" x14ac:dyDescent="0.25">
      <c r="A25" s="8" t="str">
        <f t="shared" si="0"/>
        <v> AA 10.70 </v>
      </c>
      <c r="B25" s="14" t="str">
        <f t="shared" si="1"/>
        <v>I</v>
      </c>
      <c r="C25" s="8">
        <f t="shared" si="2"/>
        <v>36489.49</v>
      </c>
      <c r="D25" s="11" t="str">
        <f t="shared" si="3"/>
        <v>vis</v>
      </c>
      <c r="E25" s="41">
        <f>VLOOKUP(C25,Active!C$21:E$973,3,FALSE)</f>
        <v>203.0023063264095</v>
      </c>
      <c r="F25" s="14" t="s">
        <v>63</v>
      </c>
      <c r="G25" s="11" t="str">
        <f t="shared" si="4"/>
        <v>36489.49</v>
      </c>
      <c r="H25" s="8">
        <f t="shared" si="5"/>
        <v>203</v>
      </c>
      <c r="I25" s="42" t="s">
        <v>103</v>
      </c>
      <c r="J25" s="43" t="s">
        <v>104</v>
      </c>
      <c r="K25" s="42">
        <v>203</v>
      </c>
      <c r="L25" s="42" t="s">
        <v>96</v>
      </c>
      <c r="M25" s="43" t="s">
        <v>88</v>
      </c>
      <c r="N25" s="43"/>
      <c r="O25" s="44" t="s">
        <v>92</v>
      </c>
      <c r="P25" s="44" t="s">
        <v>105</v>
      </c>
    </row>
    <row r="26" spans="1:16" ht="12.75" customHeight="1" thickBot="1" x14ac:dyDescent="0.25">
      <c r="A26" s="8" t="str">
        <f t="shared" si="0"/>
        <v> AC 1199 </v>
      </c>
      <c r="B26" s="14" t="str">
        <f t="shared" si="1"/>
        <v>I</v>
      </c>
      <c r="C26" s="8">
        <f t="shared" si="2"/>
        <v>36548.199999999997</v>
      </c>
      <c r="D26" s="11" t="str">
        <f t="shared" si="3"/>
        <v>vis</v>
      </c>
      <c r="E26" s="41">
        <f>VLOOKUP(C26,Active!C$21:E$973,3,FALSE)</f>
        <v>206.99653710872352</v>
      </c>
      <c r="F26" s="14" t="s">
        <v>63</v>
      </c>
      <c r="G26" s="11" t="str">
        <f t="shared" si="4"/>
        <v>36548.20</v>
      </c>
      <c r="H26" s="8">
        <f t="shared" si="5"/>
        <v>207</v>
      </c>
      <c r="I26" s="42" t="s">
        <v>106</v>
      </c>
      <c r="J26" s="43" t="s">
        <v>107</v>
      </c>
      <c r="K26" s="42">
        <v>207</v>
      </c>
      <c r="L26" s="42" t="s">
        <v>108</v>
      </c>
      <c r="M26" s="43" t="s">
        <v>73</v>
      </c>
      <c r="N26" s="43"/>
      <c r="O26" s="44" t="s">
        <v>101</v>
      </c>
      <c r="P26" s="44" t="s">
        <v>102</v>
      </c>
    </row>
    <row r="27" spans="1:16" ht="12.75" customHeight="1" thickBot="1" x14ac:dyDescent="0.25">
      <c r="A27" s="8" t="str">
        <f t="shared" si="0"/>
        <v> AC 1199 </v>
      </c>
      <c r="B27" s="14" t="str">
        <f t="shared" si="1"/>
        <v>I</v>
      </c>
      <c r="C27" s="8">
        <f t="shared" si="2"/>
        <v>36901.24</v>
      </c>
      <c r="D27" s="11" t="str">
        <f t="shared" si="3"/>
        <v>vis</v>
      </c>
      <c r="E27" s="41">
        <f>VLOOKUP(C27,Active!C$21:E$973,3,FALSE)</f>
        <v>231.01498772000213</v>
      </c>
      <c r="F27" s="14" t="s">
        <v>63</v>
      </c>
      <c r="G27" s="11" t="str">
        <f t="shared" si="4"/>
        <v>36901.24</v>
      </c>
      <c r="H27" s="8">
        <f t="shared" si="5"/>
        <v>231</v>
      </c>
      <c r="I27" s="42" t="s">
        <v>109</v>
      </c>
      <c r="J27" s="43" t="s">
        <v>110</v>
      </c>
      <c r="K27" s="42">
        <v>231</v>
      </c>
      <c r="L27" s="42" t="s">
        <v>111</v>
      </c>
      <c r="M27" s="43" t="s">
        <v>73</v>
      </c>
      <c r="N27" s="43"/>
      <c r="O27" s="44" t="s">
        <v>101</v>
      </c>
      <c r="P27" s="44" t="s">
        <v>102</v>
      </c>
    </row>
    <row r="28" spans="1:16" ht="12.75" customHeight="1" thickBot="1" x14ac:dyDescent="0.25">
      <c r="A28" s="8" t="str">
        <f t="shared" si="0"/>
        <v> AC 1199 </v>
      </c>
      <c r="B28" s="14" t="str">
        <f t="shared" si="1"/>
        <v>I</v>
      </c>
      <c r="C28" s="8">
        <f t="shared" si="2"/>
        <v>37518.47</v>
      </c>
      <c r="D28" s="11" t="str">
        <f t="shared" si="3"/>
        <v>vis</v>
      </c>
      <c r="E28" s="41">
        <f>VLOOKUP(C28,Active!C$21:E$973,3,FALSE)</f>
        <v>273.0071366855571</v>
      </c>
      <c r="F28" s="14" t="s">
        <v>63</v>
      </c>
      <c r="G28" s="11" t="str">
        <f t="shared" si="4"/>
        <v>37518.47</v>
      </c>
      <c r="H28" s="8">
        <f t="shared" si="5"/>
        <v>273</v>
      </c>
      <c r="I28" s="42" t="s">
        <v>112</v>
      </c>
      <c r="J28" s="43" t="s">
        <v>113</v>
      </c>
      <c r="K28" s="42">
        <v>273</v>
      </c>
      <c r="L28" s="42" t="s">
        <v>114</v>
      </c>
      <c r="M28" s="43" t="s">
        <v>73</v>
      </c>
      <c r="N28" s="43"/>
      <c r="O28" s="44" t="s">
        <v>101</v>
      </c>
      <c r="P28" s="44" t="s">
        <v>102</v>
      </c>
    </row>
    <row r="29" spans="1:16" ht="12.75" customHeight="1" thickBot="1" x14ac:dyDescent="0.25">
      <c r="A29" s="8" t="str">
        <f t="shared" si="0"/>
        <v> AC 1199 </v>
      </c>
      <c r="B29" s="14" t="str">
        <f t="shared" si="1"/>
        <v>I</v>
      </c>
      <c r="C29" s="8">
        <f t="shared" si="2"/>
        <v>37959.269999999997</v>
      </c>
      <c r="D29" s="11" t="str">
        <f t="shared" si="3"/>
        <v>vis</v>
      </c>
      <c r="E29" s="41">
        <f>VLOOKUP(C29,Active!C$21:E$973,3,FALSE)</f>
        <v>302.99618333594088</v>
      </c>
      <c r="F29" s="14" t="s">
        <v>63</v>
      </c>
      <c r="G29" s="11" t="str">
        <f t="shared" si="4"/>
        <v>37959.27</v>
      </c>
      <c r="H29" s="8">
        <f t="shared" si="5"/>
        <v>303</v>
      </c>
      <c r="I29" s="42" t="s">
        <v>115</v>
      </c>
      <c r="J29" s="43" t="s">
        <v>116</v>
      </c>
      <c r="K29" s="42">
        <v>303</v>
      </c>
      <c r="L29" s="42" t="s">
        <v>117</v>
      </c>
      <c r="M29" s="43" t="s">
        <v>73</v>
      </c>
      <c r="N29" s="43"/>
      <c r="O29" s="44" t="s">
        <v>101</v>
      </c>
      <c r="P29" s="44" t="s">
        <v>102</v>
      </c>
    </row>
    <row r="30" spans="1:16" ht="12.75" customHeight="1" thickBot="1" x14ac:dyDescent="0.25">
      <c r="A30" s="8" t="str">
        <f t="shared" si="0"/>
        <v> AC 1199 </v>
      </c>
      <c r="B30" s="14" t="str">
        <f t="shared" si="1"/>
        <v>I</v>
      </c>
      <c r="C30" s="8">
        <f t="shared" si="2"/>
        <v>38973.519999999997</v>
      </c>
      <c r="D30" s="11" t="str">
        <f t="shared" si="3"/>
        <v>vis</v>
      </c>
      <c r="E30" s="41">
        <f>VLOOKUP(C30,Active!C$21:E$973,3,FALSE)</f>
        <v>371.99888425506975</v>
      </c>
      <c r="F30" s="14" t="s">
        <v>63</v>
      </c>
      <c r="G30" s="11" t="str">
        <f t="shared" si="4"/>
        <v>38973.52</v>
      </c>
      <c r="H30" s="8">
        <f t="shared" si="5"/>
        <v>372</v>
      </c>
      <c r="I30" s="42" t="s">
        <v>118</v>
      </c>
      <c r="J30" s="43" t="s">
        <v>119</v>
      </c>
      <c r="K30" s="42">
        <v>372</v>
      </c>
      <c r="L30" s="42" t="s">
        <v>120</v>
      </c>
      <c r="M30" s="43" t="s">
        <v>73</v>
      </c>
      <c r="N30" s="43"/>
      <c r="O30" s="44" t="s">
        <v>101</v>
      </c>
      <c r="P30" s="44" t="s">
        <v>102</v>
      </c>
    </row>
    <row r="31" spans="1:16" ht="12.75" customHeight="1" thickBot="1" x14ac:dyDescent="0.25">
      <c r="A31" s="8" t="str">
        <f t="shared" si="0"/>
        <v> AC 1199 </v>
      </c>
      <c r="B31" s="14" t="str">
        <f t="shared" si="1"/>
        <v>I</v>
      </c>
      <c r="C31" s="8">
        <f t="shared" si="2"/>
        <v>39767.339999999997</v>
      </c>
      <c r="D31" s="11" t="str">
        <f t="shared" si="3"/>
        <v>vis</v>
      </c>
      <c r="E31" s="41">
        <f>VLOOKUP(C31,Active!C$21:E$973,3,FALSE)</f>
        <v>426.00502085218375</v>
      </c>
      <c r="F31" s="14" t="s">
        <v>63</v>
      </c>
      <c r="G31" s="11" t="str">
        <f t="shared" si="4"/>
        <v>39767.34</v>
      </c>
      <c r="H31" s="8">
        <f t="shared" si="5"/>
        <v>426</v>
      </c>
      <c r="I31" s="42" t="s">
        <v>121</v>
      </c>
      <c r="J31" s="43" t="s">
        <v>122</v>
      </c>
      <c r="K31" s="42">
        <v>426</v>
      </c>
      <c r="L31" s="42" t="s">
        <v>123</v>
      </c>
      <c r="M31" s="43" t="s">
        <v>73</v>
      </c>
      <c r="N31" s="43"/>
      <c r="O31" s="44" t="s">
        <v>101</v>
      </c>
      <c r="P31" s="44" t="s">
        <v>102</v>
      </c>
    </row>
    <row r="32" spans="1:16" ht="12.75" customHeight="1" thickBot="1" x14ac:dyDescent="0.25">
      <c r="A32" s="8" t="str">
        <f t="shared" si="0"/>
        <v> AC 1199 </v>
      </c>
      <c r="B32" s="14" t="str">
        <f t="shared" si="1"/>
        <v>I</v>
      </c>
      <c r="C32" s="8">
        <f t="shared" si="2"/>
        <v>40502.33</v>
      </c>
      <c r="D32" s="11" t="str">
        <f t="shared" si="3"/>
        <v>vis</v>
      </c>
      <c r="E32" s="41">
        <f>VLOOKUP(C32,Active!C$21:E$973,3,FALSE)</f>
        <v>476.00876267969267</v>
      </c>
      <c r="F32" s="14" t="s">
        <v>63</v>
      </c>
      <c r="G32" s="11" t="str">
        <f t="shared" si="4"/>
        <v>40502.33</v>
      </c>
      <c r="H32" s="8">
        <f t="shared" si="5"/>
        <v>476</v>
      </c>
      <c r="I32" s="42" t="s">
        <v>124</v>
      </c>
      <c r="J32" s="43" t="s">
        <v>125</v>
      </c>
      <c r="K32" s="42">
        <v>476</v>
      </c>
      <c r="L32" s="42" t="s">
        <v>126</v>
      </c>
      <c r="M32" s="43" t="s">
        <v>73</v>
      </c>
      <c r="N32" s="43"/>
      <c r="O32" s="44" t="s">
        <v>101</v>
      </c>
      <c r="P32" s="44" t="s">
        <v>102</v>
      </c>
    </row>
    <row r="33" spans="1:16" ht="12.75" customHeight="1" thickBot="1" x14ac:dyDescent="0.25">
      <c r="A33" s="8" t="str">
        <f t="shared" si="0"/>
        <v>BAVM 131 </v>
      </c>
      <c r="B33" s="14" t="str">
        <f t="shared" si="1"/>
        <v>I</v>
      </c>
      <c r="C33" s="8">
        <f t="shared" si="2"/>
        <v>51423.4</v>
      </c>
      <c r="D33" s="11" t="str">
        <f t="shared" si="3"/>
        <v>vis</v>
      </c>
      <c r="E33" s="41">
        <f>VLOOKUP(C33,Active!C$21:E$973,3,FALSE)</f>
        <v>1219.0044017498144</v>
      </c>
      <c r="F33" s="14" t="s">
        <v>63</v>
      </c>
      <c r="G33" s="11" t="str">
        <f t="shared" si="4"/>
        <v>51423.40</v>
      </c>
      <c r="H33" s="8">
        <f t="shared" si="5"/>
        <v>1219</v>
      </c>
      <c r="I33" s="42" t="s">
        <v>145</v>
      </c>
      <c r="J33" s="43" t="s">
        <v>146</v>
      </c>
      <c r="K33" s="42">
        <v>1219</v>
      </c>
      <c r="L33" s="42" t="s">
        <v>147</v>
      </c>
      <c r="M33" s="43" t="s">
        <v>88</v>
      </c>
      <c r="N33" s="43"/>
      <c r="O33" s="44" t="s">
        <v>148</v>
      </c>
      <c r="P33" s="45" t="s">
        <v>149</v>
      </c>
    </row>
    <row r="34" spans="1:16" ht="12.75" customHeight="1" thickBot="1" x14ac:dyDescent="0.25">
      <c r="A34" s="8" t="str">
        <f t="shared" si="0"/>
        <v>BAVM 171 </v>
      </c>
      <c r="B34" s="14" t="str">
        <f t="shared" si="1"/>
        <v>I</v>
      </c>
      <c r="C34" s="8">
        <f t="shared" si="2"/>
        <v>52878.59</v>
      </c>
      <c r="D34" s="11" t="str">
        <f t="shared" si="3"/>
        <v>vis</v>
      </c>
      <c r="E34" s="41">
        <f>VLOOKUP(C34,Active!C$21:E$973,3,FALSE)</f>
        <v>1318.005673971167</v>
      </c>
      <c r="F34" s="14" t="s">
        <v>63</v>
      </c>
      <c r="G34" s="11" t="str">
        <f t="shared" si="4"/>
        <v>52878.59</v>
      </c>
      <c r="H34" s="8">
        <f t="shared" si="5"/>
        <v>1318</v>
      </c>
      <c r="I34" s="42" t="s">
        <v>150</v>
      </c>
      <c r="J34" s="43" t="s">
        <v>151</v>
      </c>
      <c r="K34" s="42">
        <v>1318</v>
      </c>
      <c r="L34" s="42" t="s">
        <v>152</v>
      </c>
      <c r="M34" s="43" t="s">
        <v>88</v>
      </c>
      <c r="N34" s="43"/>
      <c r="O34" s="44" t="s">
        <v>148</v>
      </c>
      <c r="P34" s="45" t="s">
        <v>153</v>
      </c>
    </row>
    <row r="35" spans="1:16" ht="12.75" customHeight="1" thickBot="1" x14ac:dyDescent="0.25">
      <c r="A35" s="8" t="str">
        <f t="shared" si="0"/>
        <v>BAVM 192 </v>
      </c>
      <c r="B35" s="14" t="str">
        <f t="shared" si="1"/>
        <v>I</v>
      </c>
      <c r="C35" s="8">
        <f t="shared" si="2"/>
        <v>53657.625</v>
      </c>
      <c r="D35" s="11" t="str">
        <f t="shared" si="3"/>
        <v>vis</v>
      </c>
      <c r="E35" s="41">
        <f>VLOOKUP(C35,Active!C$21:E$973,3,FALSE)</f>
        <v>1371.0059393007543</v>
      </c>
      <c r="F35" s="14" t="s">
        <v>63</v>
      </c>
      <c r="G35" s="11" t="str">
        <f t="shared" si="4"/>
        <v>53657.625</v>
      </c>
      <c r="H35" s="8">
        <f t="shared" si="5"/>
        <v>1371</v>
      </c>
      <c r="I35" s="42" t="s">
        <v>154</v>
      </c>
      <c r="J35" s="43" t="s">
        <v>155</v>
      </c>
      <c r="K35" s="42">
        <v>1371</v>
      </c>
      <c r="L35" s="42" t="s">
        <v>156</v>
      </c>
      <c r="M35" s="43" t="s">
        <v>88</v>
      </c>
      <c r="N35" s="43"/>
      <c r="O35" s="44" t="s">
        <v>148</v>
      </c>
      <c r="P35" s="45" t="s">
        <v>157</v>
      </c>
    </row>
    <row r="36" spans="1:16" ht="12.75" customHeight="1" thickBot="1" x14ac:dyDescent="0.25">
      <c r="A36" s="8" t="str">
        <f t="shared" si="0"/>
        <v>OEJV 0137 </v>
      </c>
      <c r="B36" s="14" t="str">
        <f t="shared" si="1"/>
        <v>I</v>
      </c>
      <c r="C36" s="8">
        <f t="shared" si="2"/>
        <v>55083.417999999998</v>
      </c>
      <c r="D36" s="11" t="str">
        <f t="shared" si="3"/>
        <v>vis</v>
      </c>
      <c r="E36" s="41">
        <f>VLOOKUP(C36,Active!C$21:E$973,3,FALSE)</f>
        <v>1468.007238735398</v>
      </c>
      <c r="F36" s="14" t="s">
        <v>63</v>
      </c>
      <c r="G36" s="11" t="str">
        <f t="shared" si="4"/>
        <v>55083.4180</v>
      </c>
      <c r="H36" s="8">
        <f t="shared" si="5"/>
        <v>1468</v>
      </c>
      <c r="I36" s="42" t="s">
        <v>158</v>
      </c>
      <c r="J36" s="43" t="s">
        <v>159</v>
      </c>
      <c r="K36" s="42">
        <v>1468</v>
      </c>
      <c r="L36" s="42" t="s">
        <v>160</v>
      </c>
      <c r="M36" s="43" t="s">
        <v>161</v>
      </c>
      <c r="N36" s="43" t="s">
        <v>162</v>
      </c>
      <c r="O36" s="44" t="s">
        <v>163</v>
      </c>
      <c r="P36" s="45" t="s">
        <v>164</v>
      </c>
    </row>
    <row r="37" spans="1:16" ht="12.75" customHeight="1" thickBot="1" x14ac:dyDescent="0.25">
      <c r="A37" s="8" t="str">
        <f t="shared" si="0"/>
        <v>BAVM 212 </v>
      </c>
      <c r="B37" s="14" t="str">
        <f t="shared" si="1"/>
        <v>I</v>
      </c>
      <c r="C37" s="8">
        <f t="shared" si="2"/>
        <v>55083.419099999999</v>
      </c>
      <c r="D37" s="11" t="str">
        <f t="shared" si="3"/>
        <v>vis</v>
      </c>
      <c r="E37" s="41">
        <f>VLOOKUP(C37,Active!C$21:E$973,3,FALSE)</f>
        <v>1468.0073135719483</v>
      </c>
      <c r="F37" s="14" t="s">
        <v>63</v>
      </c>
      <c r="G37" s="11" t="str">
        <f t="shared" si="4"/>
        <v>55083.4191</v>
      </c>
      <c r="H37" s="8">
        <f t="shared" si="5"/>
        <v>1468</v>
      </c>
      <c r="I37" s="42" t="s">
        <v>165</v>
      </c>
      <c r="J37" s="43" t="s">
        <v>166</v>
      </c>
      <c r="K37" s="42">
        <v>1468</v>
      </c>
      <c r="L37" s="42" t="s">
        <v>167</v>
      </c>
      <c r="M37" s="43" t="s">
        <v>161</v>
      </c>
      <c r="N37" s="43" t="s">
        <v>168</v>
      </c>
      <c r="O37" s="44" t="s">
        <v>169</v>
      </c>
      <c r="P37" s="45" t="s">
        <v>170</v>
      </c>
    </row>
    <row r="38" spans="1:16" x14ac:dyDescent="0.2">
      <c r="B38" s="14"/>
      <c r="F38" s="14"/>
    </row>
    <row r="39" spans="1:16" x14ac:dyDescent="0.2">
      <c r="B39" s="14"/>
      <c r="F39" s="14"/>
    </row>
    <row r="40" spans="1:16" x14ac:dyDescent="0.2">
      <c r="B40" s="14"/>
      <c r="F40" s="14"/>
    </row>
    <row r="41" spans="1:16" x14ac:dyDescent="0.2">
      <c r="B41" s="14"/>
      <c r="F41" s="14"/>
    </row>
    <row r="42" spans="1:16" x14ac:dyDescent="0.2">
      <c r="B42" s="14"/>
      <c r="F42" s="14"/>
    </row>
    <row r="43" spans="1:16" x14ac:dyDescent="0.2">
      <c r="B43" s="14"/>
      <c r="F43" s="14"/>
    </row>
    <row r="44" spans="1:16" x14ac:dyDescent="0.2">
      <c r="B44" s="14"/>
      <c r="F44" s="14"/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</sheetData>
  <phoneticPr fontId="8" type="noConversion"/>
  <hyperlinks>
    <hyperlink ref="P33" r:id="rId1" display="http://www.bav-astro.de/sfs/BAVM_link.php?BAVMnr=131" xr:uid="{00000000-0004-0000-0100-000000000000}"/>
    <hyperlink ref="P34" r:id="rId2" display="http://www.bav-astro.de/sfs/BAVM_link.php?BAVMnr=171" xr:uid="{00000000-0004-0000-0100-000001000000}"/>
    <hyperlink ref="P35" r:id="rId3" display="http://www.bav-astro.de/sfs/BAVM_link.php?BAVMnr=192" xr:uid="{00000000-0004-0000-0100-000002000000}"/>
    <hyperlink ref="P36" r:id="rId4" display="http://var.astro.cz/oejv/issues/oejv0137.pdf" xr:uid="{00000000-0004-0000-0100-000003000000}"/>
    <hyperlink ref="P37" r:id="rId5" display="http://www.bav-astro.de/sfs/BAVM_link.php?BAVMnr=212" xr:uid="{00000000-0004-0000-0100-000004000000}"/>
    <hyperlink ref="P16" r:id="rId6" display="http://www.bav-astro.de/sfs/BAVM_link.php?BAVMnr=239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2023-08-06T07:53:16Z</dcterms:modified>
</cp:coreProperties>
</file>