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ACF35D-9632-46B4-831F-81BCD733A02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Q85" i="1"/>
  <c r="Q84" i="1"/>
  <c r="Q83" i="1"/>
  <c r="Q82" i="1"/>
  <c r="Q76" i="1"/>
  <c r="C9" i="1"/>
  <c r="D9" i="1"/>
  <c r="Q75" i="1"/>
  <c r="Q73" i="1"/>
  <c r="Q72" i="1"/>
  <c r="Q71" i="1"/>
  <c r="Q68" i="1"/>
  <c r="Q66" i="1"/>
  <c r="Q65" i="1"/>
  <c r="Q63" i="1"/>
  <c r="Q62" i="1"/>
  <c r="Q61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0" i="2"/>
  <c r="C20" i="2"/>
  <c r="G19" i="2"/>
  <c r="C19" i="2"/>
  <c r="G18" i="2"/>
  <c r="C18" i="2"/>
  <c r="G17" i="2"/>
  <c r="C17" i="2"/>
  <c r="G68" i="2"/>
  <c r="C68" i="2"/>
  <c r="G67" i="2"/>
  <c r="C67" i="2"/>
  <c r="G16" i="2"/>
  <c r="C16" i="2"/>
  <c r="G66" i="2"/>
  <c r="C66" i="2"/>
  <c r="G65" i="2"/>
  <c r="C65" i="2"/>
  <c r="G64" i="2"/>
  <c r="C64" i="2"/>
  <c r="G15" i="2"/>
  <c r="C15" i="2"/>
  <c r="G14" i="2"/>
  <c r="C14" i="2"/>
  <c r="G63" i="2"/>
  <c r="C63" i="2"/>
  <c r="G62" i="2"/>
  <c r="C62" i="2"/>
  <c r="G61" i="2"/>
  <c r="C61" i="2"/>
  <c r="G13" i="2"/>
  <c r="C13" i="2"/>
  <c r="G60" i="2"/>
  <c r="C60" i="2"/>
  <c r="G59" i="2"/>
  <c r="C59" i="2"/>
  <c r="G58" i="2"/>
  <c r="C58" i="2"/>
  <c r="G12" i="2"/>
  <c r="C12" i="2"/>
  <c r="G57" i="2"/>
  <c r="C57" i="2"/>
  <c r="G56" i="2"/>
  <c r="C56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68" i="2"/>
  <c r="B68" i="2"/>
  <c r="D68" i="2"/>
  <c r="A68" i="2"/>
  <c r="H67" i="2"/>
  <c r="B67" i="2"/>
  <c r="D67" i="2"/>
  <c r="A67" i="2"/>
  <c r="H16" i="2"/>
  <c r="B16" i="2"/>
  <c r="D16" i="2"/>
  <c r="A16" i="2"/>
  <c r="H66" i="2"/>
  <c r="B66" i="2"/>
  <c r="D66" i="2"/>
  <c r="A66" i="2"/>
  <c r="H65" i="2"/>
  <c r="B65" i="2"/>
  <c r="D65" i="2"/>
  <c r="A65" i="2"/>
  <c r="H64" i="2"/>
  <c r="B64" i="2"/>
  <c r="D64" i="2"/>
  <c r="A64" i="2"/>
  <c r="H15" i="2"/>
  <c r="B15" i="2"/>
  <c r="D15" i="2"/>
  <c r="A15" i="2"/>
  <c r="H14" i="2"/>
  <c r="B14" i="2"/>
  <c r="D14" i="2"/>
  <c r="A14" i="2"/>
  <c r="H63" i="2"/>
  <c r="B63" i="2"/>
  <c r="D63" i="2"/>
  <c r="A63" i="2"/>
  <c r="H62" i="2"/>
  <c r="B62" i="2"/>
  <c r="D62" i="2"/>
  <c r="A62" i="2"/>
  <c r="H61" i="2"/>
  <c r="B61" i="2"/>
  <c r="D61" i="2"/>
  <c r="A61" i="2"/>
  <c r="H13" i="2"/>
  <c r="B13" i="2"/>
  <c r="D13" i="2"/>
  <c r="A13" i="2"/>
  <c r="H60" i="2"/>
  <c r="B60" i="2"/>
  <c r="D60" i="2"/>
  <c r="A60" i="2"/>
  <c r="H59" i="2"/>
  <c r="B59" i="2"/>
  <c r="D59" i="2"/>
  <c r="A59" i="2"/>
  <c r="H58" i="2"/>
  <c r="B58" i="2"/>
  <c r="D58" i="2"/>
  <c r="A58" i="2"/>
  <c r="H12" i="2"/>
  <c r="B12" i="2"/>
  <c r="D12" i="2"/>
  <c r="A12" i="2"/>
  <c r="H57" i="2"/>
  <c r="B57" i="2"/>
  <c r="D57" i="2"/>
  <c r="A57" i="2"/>
  <c r="H56" i="2"/>
  <c r="B56" i="2"/>
  <c r="D56" i="2"/>
  <c r="A56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80" i="1"/>
  <c r="Q81" i="1"/>
  <c r="Q77" i="1"/>
  <c r="Q78" i="1"/>
  <c r="Q79" i="1"/>
  <c r="Q74" i="1"/>
  <c r="F16" i="1"/>
  <c r="F17" i="1" s="1"/>
  <c r="C17" i="1"/>
  <c r="Q69" i="1"/>
  <c r="Q70" i="1"/>
  <c r="Q58" i="1"/>
  <c r="Q60" i="1"/>
  <c r="Q64" i="1"/>
  <c r="Q67" i="1"/>
  <c r="C7" i="1"/>
  <c r="C8" i="1"/>
  <c r="Q56" i="1"/>
  <c r="E83" i="1"/>
  <c r="F83" i="1"/>
  <c r="E28" i="1"/>
  <c r="F28" i="1"/>
  <c r="G30" i="1"/>
  <c r="H30" i="1"/>
  <c r="E36" i="1"/>
  <c r="F36" i="1"/>
  <c r="E44" i="1"/>
  <c r="F44" i="1"/>
  <c r="G46" i="1"/>
  <c r="H46" i="1"/>
  <c r="E52" i="1"/>
  <c r="F52" i="1"/>
  <c r="G52" i="1"/>
  <c r="H52" i="1"/>
  <c r="E63" i="1"/>
  <c r="F63" i="1"/>
  <c r="G66" i="1"/>
  <c r="I66" i="1"/>
  <c r="E76" i="1"/>
  <c r="F76" i="1"/>
  <c r="E77" i="1"/>
  <c r="F77" i="1"/>
  <c r="G79" i="1"/>
  <c r="K79" i="1"/>
  <c r="E23" i="1"/>
  <c r="F23" i="1"/>
  <c r="E31" i="1"/>
  <c r="F31" i="1"/>
  <c r="E39" i="1"/>
  <c r="F39" i="1"/>
  <c r="E47" i="1"/>
  <c r="F47" i="1"/>
  <c r="E55" i="1"/>
  <c r="F55" i="1"/>
  <c r="E68" i="1"/>
  <c r="F68" i="1"/>
  <c r="E64" i="1"/>
  <c r="F64" i="1"/>
  <c r="E80" i="1"/>
  <c r="F80" i="1"/>
  <c r="G83" i="1"/>
  <c r="K83" i="1"/>
  <c r="E26" i="1"/>
  <c r="F26" i="1"/>
  <c r="G28" i="1"/>
  <c r="H28" i="1"/>
  <c r="E34" i="1"/>
  <c r="F34" i="1"/>
  <c r="G36" i="1"/>
  <c r="H36" i="1"/>
  <c r="E42" i="1"/>
  <c r="F42" i="1"/>
  <c r="G44" i="1"/>
  <c r="H44" i="1"/>
  <c r="E50" i="1"/>
  <c r="F50" i="1"/>
  <c r="E61" i="1"/>
  <c r="F61" i="1"/>
  <c r="G63" i="1"/>
  <c r="K63" i="1"/>
  <c r="E73" i="1"/>
  <c r="F73" i="1"/>
  <c r="G76" i="1"/>
  <c r="K76" i="1"/>
  <c r="E70" i="1"/>
  <c r="F70" i="1"/>
  <c r="G77" i="1"/>
  <c r="K77" i="1"/>
  <c r="E84" i="1"/>
  <c r="F84" i="1"/>
  <c r="E21" i="1"/>
  <c r="F21" i="1"/>
  <c r="G23" i="1"/>
  <c r="H23" i="1"/>
  <c r="E29" i="1"/>
  <c r="F29" i="1"/>
  <c r="G29" i="1"/>
  <c r="H29" i="1"/>
  <c r="G31" i="1"/>
  <c r="H31" i="1"/>
  <c r="E37" i="1"/>
  <c r="F37" i="1"/>
  <c r="G37" i="1"/>
  <c r="H37" i="1"/>
  <c r="G39" i="1"/>
  <c r="H39" i="1"/>
  <c r="E45" i="1"/>
  <c r="F45" i="1"/>
  <c r="G47" i="1"/>
  <c r="H47" i="1"/>
  <c r="E53" i="1"/>
  <c r="F53" i="1"/>
  <c r="G55" i="1"/>
  <c r="H55" i="1"/>
  <c r="E65" i="1"/>
  <c r="F65" i="1"/>
  <c r="G65" i="1"/>
  <c r="I65" i="1"/>
  <c r="G68" i="1"/>
  <c r="K68" i="1"/>
  <c r="E56" i="1"/>
  <c r="F56" i="1"/>
  <c r="G56" i="1"/>
  <c r="H56" i="1"/>
  <c r="G64" i="1"/>
  <c r="K64" i="1"/>
  <c r="E78" i="1"/>
  <c r="F78" i="1"/>
  <c r="G80" i="1"/>
  <c r="K80" i="1"/>
  <c r="E24" i="1"/>
  <c r="F24" i="1"/>
  <c r="G26" i="1"/>
  <c r="H26" i="1"/>
  <c r="E32" i="1"/>
  <c r="F32" i="1"/>
  <c r="G32" i="1"/>
  <c r="H32" i="1"/>
  <c r="G34" i="1"/>
  <c r="H34" i="1"/>
  <c r="E40" i="1"/>
  <c r="F40" i="1"/>
  <c r="G40" i="1"/>
  <c r="H40" i="1"/>
  <c r="G42" i="1"/>
  <c r="H42" i="1"/>
  <c r="E48" i="1"/>
  <c r="F48" i="1"/>
  <c r="G50" i="1"/>
  <c r="H50" i="1"/>
  <c r="E57" i="1"/>
  <c r="F57" i="1"/>
  <c r="G61" i="1"/>
  <c r="I61" i="1"/>
  <c r="E71" i="1"/>
  <c r="F71" i="1"/>
  <c r="G71" i="1"/>
  <c r="K71" i="1"/>
  <c r="G73" i="1"/>
  <c r="K73" i="1"/>
  <c r="E67" i="1"/>
  <c r="F67" i="1"/>
  <c r="G67" i="1"/>
  <c r="I67" i="1"/>
  <c r="G70" i="1"/>
  <c r="J70" i="1"/>
  <c r="E81" i="1"/>
  <c r="F81" i="1"/>
  <c r="E82" i="1"/>
  <c r="F82" i="1"/>
  <c r="G84" i="1"/>
  <c r="K84" i="1"/>
  <c r="G21" i="1"/>
  <c r="E27" i="1"/>
  <c r="F27" i="1"/>
  <c r="G27" i="1"/>
  <c r="H27" i="1"/>
  <c r="E35" i="1"/>
  <c r="F35" i="1"/>
  <c r="G35" i="1"/>
  <c r="H35" i="1"/>
  <c r="E43" i="1"/>
  <c r="F43" i="1"/>
  <c r="G45" i="1"/>
  <c r="H45" i="1"/>
  <c r="E51" i="1"/>
  <c r="F51" i="1"/>
  <c r="G53" i="1"/>
  <c r="H53" i="1"/>
  <c r="E62" i="1"/>
  <c r="F62" i="1"/>
  <c r="G62" i="1"/>
  <c r="I62" i="1"/>
  <c r="E75" i="1"/>
  <c r="F75" i="1"/>
  <c r="G75" i="1"/>
  <c r="K75" i="1"/>
  <c r="E74" i="1"/>
  <c r="F74" i="1"/>
  <c r="G78" i="1"/>
  <c r="K78" i="1"/>
  <c r="E85" i="1"/>
  <c r="F85" i="1"/>
  <c r="G85" i="1"/>
  <c r="K85" i="1"/>
  <c r="E22" i="1"/>
  <c r="F22" i="1"/>
  <c r="G22" i="1"/>
  <c r="H22" i="1"/>
  <c r="G24" i="1"/>
  <c r="H24" i="1"/>
  <c r="E30" i="1"/>
  <c r="F30" i="1"/>
  <c r="E38" i="1"/>
  <c r="F38" i="1"/>
  <c r="G38" i="1"/>
  <c r="H38" i="1"/>
  <c r="E46" i="1"/>
  <c r="F46" i="1"/>
  <c r="G48" i="1"/>
  <c r="H48" i="1"/>
  <c r="E54" i="1"/>
  <c r="F54" i="1"/>
  <c r="G54" i="1"/>
  <c r="H54" i="1"/>
  <c r="G57" i="1"/>
  <c r="I57" i="1"/>
  <c r="E66" i="1"/>
  <c r="F66" i="1"/>
  <c r="E58" i="1"/>
  <c r="F58" i="1"/>
  <c r="G58" i="1"/>
  <c r="I58" i="1"/>
  <c r="E79" i="1"/>
  <c r="F79" i="1"/>
  <c r="G81" i="1"/>
  <c r="J81" i="1"/>
  <c r="B81" i="1"/>
  <c r="G82" i="1"/>
  <c r="K82" i="1"/>
  <c r="E25" i="1"/>
  <c r="F25" i="1"/>
  <c r="G25" i="1"/>
  <c r="H25" i="1"/>
  <c r="E33" i="1"/>
  <c r="F33" i="1"/>
  <c r="G33" i="1"/>
  <c r="H33" i="1"/>
  <c r="E41" i="1"/>
  <c r="F41" i="1"/>
  <c r="G41" i="1"/>
  <c r="H41" i="1"/>
  <c r="G43" i="1"/>
  <c r="H43" i="1"/>
  <c r="E49" i="1"/>
  <c r="F49" i="1"/>
  <c r="G49" i="1"/>
  <c r="H49" i="1"/>
  <c r="G51" i="1"/>
  <c r="H51" i="1"/>
  <c r="E59" i="1"/>
  <c r="F59" i="1"/>
  <c r="G59" i="1"/>
  <c r="I59" i="1"/>
  <c r="E72" i="1"/>
  <c r="F72" i="1"/>
  <c r="G72" i="1"/>
  <c r="K72" i="1"/>
  <c r="E69" i="1"/>
  <c r="F69" i="1"/>
  <c r="G69" i="1"/>
  <c r="J69" i="1"/>
  <c r="G74" i="1"/>
  <c r="I74" i="1"/>
  <c r="E60" i="1"/>
  <c r="F60" i="1"/>
  <c r="E22" i="2"/>
  <c r="E45" i="2"/>
  <c r="E61" i="2"/>
  <c r="E66" i="2"/>
  <c r="E19" i="2"/>
  <c r="E28" i="2"/>
  <c r="E34" i="2"/>
  <c r="E40" i="2"/>
  <c r="E46" i="2"/>
  <c r="E52" i="2"/>
  <c r="E62" i="2"/>
  <c r="E20" i="2"/>
  <c r="E29" i="2"/>
  <c r="E35" i="2"/>
  <c r="E41" i="2"/>
  <c r="E47" i="2"/>
  <c r="E53" i="2"/>
  <c r="E16" i="2"/>
  <c r="E30" i="2"/>
  <c r="E54" i="2"/>
  <c r="E58" i="2"/>
  <c r="E63" i="2"/>
  <c r="E67" i="2"/>
  <c r="E31" i="2"/>
  <c r="E36" i="2"/>
  <c r="E42" i="2"/>
  <c r="E48" i="2"/>
  <c r="E14" i="2"/>
  <c r="E37" i="2"/>
  <c r="E43" i="2"/>
  <c r="E49" i="2"/>
  <c r="E60" i="2"/>
  <c r="E15" i="2"/>
  <c r="E68" i="2"/>
  <c r="E26" i="2"/>
  <c r="E38" i="2"/>
  <c r="E13" i="2"/>
  <c r="E64" i="2"/>
  <c r="E17" i="2"/>
  <c r="E33" i="2"/>
  <c r="E39" i="2"/>
  <c r="E44" i="2"/>
  <c r="E50" i="2"/>
  <c r="E56" i="2"/>
  <c r="E65" i="2"/>
  <c r="E18" i="2"/>
  <c r="H21" i="1"/>
  <c r="E25" i="2"/>
  <c r="E32" i="2"/>
  <c r="E12" i="2"/>
  <c r="E57" i="2"/>
  <c r="E59" i="2"/>
  <c r="E27" i="2"/>
  <c r="E55" i="2"/>
  <c r="E51" i="2"/>
  <c r="E11" i="2"/>
  <c r="E24" i="2"/>
  <c r="E23" i="2"/>
  <c r="E21" i="2"/>
  <c r="C11" i="1"/>
  <c r="C12" i="1"/>
  <c r="O86" i="1" l="1"/>
  <c r="O48" i="1"/>
  <c r="O37" i="1"/>
  <c r="O85" i="1"/>
  <c r="O23" i="1"/>
  <c r="O63" i="1"/>
  <c r="O38" i="1"/>
  <c r="O35" i="1"/>
  <c r="O67" i="1"/>
  <c r="O21" i="1"/>
  <c r="O69" i="1"/>
  <c r="O24" i="1"/>
  <c r="O65" i="1"/>
  <c r="O61" i="1"/>
  <c r="O36" i="1"/>
  <c r="O33" i="1"/>
  <c r="O83" i="1"/>
  <c r="O81" i="1"/>
  <c r="O58" i="1"/>
  <c r="O55" i="1"/>
  <c r="O25" i="1"/>
  <c r="O74" i="1"/>
  <c r="O72" i="1"/>
  <c r="O42" i="1"/>
  <c r="O47" i="1"/>
  <c r="O59" i="1"/>
  <c r="O56" i="1"/>
  <c r="O60" i="1"/>
  <c r="C15" i="1"/>
  <c r="O79" i="1"/>
  <c r="O41" i="1"/>
  <c r="O82" i="1"/>
  <c r="O50" i="1"/>
  <c r="O28" i="1"/>
  <c r="O73" i="1"/>
  <c r="O80" i="1"/>
  <c r="O84" i="1"/>
  <c r="O66" i="1"/>
  <c r="O70" i="1"/>
  <c r="O40" i="1"/>
  <c r="O29" i="1"/>
  <c r="O76" i="1"/>
  <c r="O52" i="1"/>
  <c r="O49" i="1"/>
  <c r="O27" i="1"/>
  <c r="O32" i="1"/>
  <c r="O44" i="1"/>
  <c r="O22" i="1"/>
  <c r="O78" i="1"/>
  <c r="O62" i="1"/>
  <c r="O53" i="1"/>
  <c r="O34" i="1"/>
  <c r="O39" i="1"/>
  <c r="O75" i="1"/>
  <c r="O54" i="1"/>
  <c r="O51" i="1"/>
  <c r="O77" i="1"/>
  <c r="O64" i="1"/>
  <c r="O57" i="1"/>
  <c r="O45" i="1"/>
  <c r="O26" i="1"/>
  <c r="O31" i="1"/>
  <c r="O68" i="1"/>
  <c r="O46" i="1"/>
  <c r="O43" i="1"/>
  <c r="O30" i="1"/>
  <c r="O7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<sst xmlns="http://schemas.openxmlformats.org/spreadsheetml/2006/main" count="628" uniqueCount="286">
  <si>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</si>
  <si>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</si>
  <si>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</si>
  <si>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</si>
  <si>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</si>
  <si>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</si>
  <si>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</si>
  <si>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</si>
  <si>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</si>
  <si>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</si>
  <si>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</si>
  <si>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</si>
  <si>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</si>
  <si>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</si>
  <si>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</si>
  <si>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</si>
  <si>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</si>
  <si>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</si>
  <si>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</si>
  <si>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</si>
  <si>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</si>
  <si>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</si>
  <si>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</si>
  <si>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</si>
  <si>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</si>
  <si>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</si>
  <si>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</si>
  <si>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</si>
  <si>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</si>
  <si>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Bull.57</t>
  </si>
  <si>
    <t>B</t>
  </si>
  <si>
    <t>Wolf M</t>
  </si>
  <si>
    <t>BBSAG Bull.99</t>
  </si>
  <si>
    <t>Blaettler E</t>
  </si>
  <si>
    <t>BBSAG Bull.103</t>
  </si>
  <si>
    <t>II</t>
  </si>
  <si>
    <t>IBVS 4712</t>
  </si>
  <si>
    <t>IBVS 4382</t>
  </si>
  <si>
    <t>EA/DM</t>
  </si>
  <si>
    <t># of data points:</t>
  </si>
  <si>
    <t>GH Peg / GSC 01666-01132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</si>
  <si>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</si>
  <si>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</si>
  <si>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</si>
  <si>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</si>
  <si>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</si>
  <si>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</si>
  <si>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</si>
  <si>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</si>
  <si>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IBVS 5960</t>
  </si>
  <si>
    <t>OEJV 0160</t>
  </si>
  <si>
    <t>I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</si>
  <si>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</si>
  <si>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</si>
  <si>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</si>
  <si>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</si>
  <si>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</si>
  <si>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</si>
  <si>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</si>
  <si>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</si>
  <si>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</si>
  <si>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</si>
  <si>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</si>
  <si>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</si>
  <si>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</si>
  <si>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2426647.330 </t>
  </si>
  <si>
    <t> 01.11.1931 19:55 </t>
  </si>
  <si>
    <t> -0.016 </t>
  </si>
  <si>
    <t>P </t>
  </si>
  <si>
    <t> Strohmeier et al. </t>
  </si>
  <si>
    <t> VB 5.14 </t>
  </si>
  <si>
    <t>2426928.488 </t>
  </si>
  <si>
    <t> 08.08.1932 23:42 </t>
  </si>
  <si>
    <t> -0.033 </t>
  </si>
  <si>
    <t>2426946.454 </t>
  </si>
  <si>
    <t> 26.08.1932 22:53 </t>
  </si>
  <si>
    <t> 0.040 </t>
  </si>
  <si>
    <t> W.Wenzel </t>
  </si>
  <si>
    <t> MVS 594 </t>
  </si>
  <si>
    <t>2426951.514 </t>
  </si>
  <si>
    <t> 01.09.1932 00:20 </t>
  </si>
  <si>
    <t> -0.013 </t>
  </si>
  <si>
    <t>2427332.384 </t>
  </si>
  <si>
    <t> 16.09.1933 21:12 </t>
  </si>
  <si>
    <t> -0.007 </t>
  </si>
  <si>
    <t>2427695.401 </t>
  </si>
  <si>
    <t> 14.09.1934 21:37 </t>
  </si>
  <si>
    <t> 0.039 </t>
  </si>
  <si>
    <t>2427718.415 </t>
  </si>
  <si>
    <t> 07.10.1934 21:57 </t>
  </si>
  <si>
    <t> 0.048 </t>
  </si>
  <si>
    <t>2428022.521 </t>
  </si>
  <si>
    <t> 08.08.1935 00:30 </t>
  </si>
  <si>
    <t> -0.027 </t>
  </si>
  <si>
    <t>2428040.470 </t>
  </si>
  <si>
    <t> 25.08.1935 23:16 </t>
  </si>
  <si>
    <t> 0.030 </t>
  </si>
  <si>
    <t>2428104.336 </t>
  </si>
  <si>
    <t> 28.10.1935 20:03 </t>
  </si>
  <si>
    <t> -0.008 </t>
  </si>
  <si>
    <t>2428339.510 </t>
  </si>
  <si>
    <t> 20.06.1936 00:14 </t>
  </si>
  <si>
    <t> 0.002 </t>
  </si>
  <si>
    <t>2428408.529 </t>
  </si>
  <si>
    <t> 28.08.1936 00:41 </t>
  </si>
  <si>
    <t> 0.005 </t>
  </si>
  <si>
    <t>2429111.465 </t>
  </si>
  <si>
    <t> 31.07.1938 23:09 </t>
  </si>
  <si>
    <t> 0.004 </t>
  </si>
  <si>
    <t>2429111.473 </t>
  </si>
  <si>
    <t> 31.07.1938 23:21 </t>
  </si>
  <si>
    <t> 0.012 </t>
  </si>
  <si>
    <t>2429134.497 </t>
  </si>
  <si>
    <t> 23.08.1938 23:55 </t>
  </si>
  <si>
    <t>2429193.299 </t>
  </si>
  <si>
    <t> 21.10.1938 19:10 </t>
  </si>
  <si>
    <t> 0.041 </t>
  </si>
  <si>
    <t>2429216.245 </t>
  </si>
  <si>
    <t> 13.11.1938 17:52 </t>
  </si>
  <si>
    <t> -0.018 </t>
  </si>
  <si>
    <t>2432779.517 </t>
  </si>
  <si>
    <t> 16.08.1948 00:24 </t>
  </si>
  <si>
    <t> 0.000 </t>
  </si>
  <si>
    <t>2432802.482 </t>
  </si>
  <si>
    <t> 07.09.1948 23:34 </t>
  </si>
  <si>
    <t> -0.040 </t>
  </si>
  <si>
    <t>2433891.425 </t>
  </si>
  <si>
    <t> 01.09.1951 22:12 </t>
  </si>
  <si>
    <t> -0.011 </t>
  </si>
  <si>
    <t>2434295.288 </t>
  </si>
  <si>
    <t> 09.10.1952 18:54 </t>
  </si>
  <si>
    <t> -0.017 </t>
  </si>
  <si>
    <t>2434599.477 </t>
  </si>
  <si>
    <t> 09.08.1953 23:26 </t>
  </si>
  <si>
    <t>2434663.405 </t>
  </si>
  <si>
    <t> 12.10.1953 21:43 </t>
  </si>
  <si>
    <t> 0.016 </t>
  </si>
  <si>
    <t>2435302.463 </t>
  </si>
  <si>
    <t> 13.07.1955 23:06 </t>
  </si>
  <si>
    <t>2435371.411 </t>
  </si>
  <si>
    <t> 20.09.1955 21:51 </t>
  </si>
  <si>
    <t> -0.028 </t>
  </si>
  <si>
    <t>2436764.531 </t>
  </si>
  <si>
    <t> 15.07.1959 00:44 </t>
  </si>
  <si>
    <t> -0.002 </t>
  </si>
  <si>
    <t>2436846.325 </t>
  </si>
  <si>
    <t> 04.10.1959 19:48 </t>
  </si>
  <si>
    <t> -0.004 </t>
  </si>
  <si>
    <t>2436846.351 </t>
  </si>
  <si>
    <t> 04.10.1959 20:25 </t>
  </si>
  <si>
    <t> 0.022 </t>
  </si>
  <si>
    <t>2436846.374 </t>
  </si>
  <si>
    <t> 04.10.1959 20:58 </t>
  </si>
  <si>
    <t> 0.045 </t>
  </si>
  <si>
    <t>2436851.427 </t>
  </si>
  <si>
    <t> 09.10.1959 22:14 </t>
  </si>
  <si>
    <t> -0.014 </t>
  </si>
  <si>
    <t>2437191.406 </t>
  </si>
  <si>
    <t> 13.09.1960 21:44 </t>
  </si>
  <si>
    <t> -0.001 </t>
  </si>
  <si>
    <t>2441603.284 </t>
  </si>
  <si>
    <t> 12.10.1972 18:48 </t>
  </si>
  <si>
    <t>E </t>
  </si>
  <si>
    <t>?</t>
  </si>
  <si>
    <t> Srivastava&amp;Padalia </t>
  </si>
  <si>
    <t> ASS 134.179 </t>
  </si>
  <si>
    <t>2441616.106 </t>
  </si>
  <si>
    <t> 25.10.1972 14:32 </t>
  </si>
  <si>
    <t> 0.027 </t>
  </si>
  <si>
    <t>2441621.198 </t>
  </si>
  <si>
    <t> 30.10.1972 16:45 </t>
  </si>
  <si>
    <t> 0.007 </t>
  </si>
  <si>
    <t>2441630.145 </t>
  </si>
  <si>
    <t> 08.11.1972 15:28 </t>
  </si>
  <si>
    <t>2441639.084 </t>
  </si>
  <si>
    <t> 17.11.1972 14:00 </t>
  </si>
  <si>
    <t>2441653.143 </t>
  </si>
  <si>
    <t> 01.12.1972 15:25 </t>
  </si>
  <si>
    <t>2444885.379 </t>
  </si>
  <si>
    <t> 07.10.1981 21:05 </t>
  </si>
  <si>
    <t> R.Diethelm </t>
  </si>
  <si>
    <t> BBS 57 </t>
  </si>
  <si>
    <t>2444917.316 </t>
  </si>
  <si>
    <t> 08.11.1981 19:35 </t>
  </si>
  <si>
    <t> -0.012 </t>
  </si>
  <si>
    <t>2445933.399 </t>
  </si>
  <si>
    <t> 20.08.1984 21:34 </t>
  </si>
  <si>
    <t>V </t>
  </si>
  <si>
    <t> W.Braune </t>
  </si>
  <si>
    <t>BAVM 39 </t>
  </si>
  <si>
    <t>2447114.3360 </t>
  </si>
  <si>
    <t> 14.11.1987 20:03 </t>
  </si>
  <si>
    <t> 0.0087 </t>
  </si>
  <si>
    <t> J.Ells </t>
  </si>
  <si>
    <t> VSSC 70.21 </t>
  </si>
  <si>
    <t>2447863.2815 </t>
  </si>
  <si>
    <t> 02.12.1989 18:45 </t>
  </si>
  <si>
    <t> 0.0063 </t>
  </si>
  <si>
    <t>B;V</t>
  </si>
  <si>
    <t> D.Alteweier </t>
  </si>
  <si>
    <t>BAVM 56 </t>
  </si>
  <si>
    <t>2448507.4268 </t>
  </si>
  <si>
    <t> 07.09.1991 22:14 </t>
  </si>
  <si>
    <t> 0.0054 </t>
  </si>
  <si>
    <t> M.Wolf </t>
  </si>
  <si>
    <t> BBS 99 </t>
  </si>
  <si>
    <t>2448571.324 </t>
  </si>
  <si>
    <t> 10.11.1991 19:46 </t>
  </si>
  <si>
    <t> M.Dahm </t>
  </si>
  <si>
    <t>BAVM 60 </t>
  </si>
  <si>
    <t>2448893.407 </t>
  </si>
  <si>
    <t> 27.09.1992 21:46 </t>
  </si>
  <si>
    <t> 0.009 </t>
  </si>
  <si>
    <t>BAVM 62 </t>
  </si>
  <si>
    <t>2448934.2973 </t>
  </si>
  <si>
    <t> 07.11.1992 19:08 </t>
  </si>
  <si>
    <t> 0.0012 </t>
  </si>
  <si>
    <t> E.Blättler </t>
  </si>
  <si>
    <t> BBS 103 </t>
  </si>
  <si>
    <t>2450005.3224 </t>
  </si>
  <si>
    <t> 14.10.1995 19:44 </t>
  </si>
  <si>
    <t> 0.0053 </t>
  </si>
  <si>
    <t>o</t>
  </si>
  <si>
    <t> W.Kleikamp </t>
  </si>
  <si>
    <t>BAVM 90 </t>
  </si>
  <si>
    <t>2451140.2461 </t>
  </si>
  <si>
    <t> 22.11.1998 17:54 </t>
  </si>
  <si>
    <t> 0.0046 </t>
  </si>
  <si>
    <t>-I</t>
  </si>
  <si>
    <t>BAVM 118 </t>
  </si>
  <si>
    <t>2452587.0203 </t>
  </si>
  <si>
    <t> 08.11.2002 12:29 </t>
  </si>
  <si>
    <t>4283</t>
  </si>
  <si>
    <t> 0.0058 </t>
  </si>
  <si>
    <t> Nakajima </t>
  </si>
  <si>
    <t>VSB 40 </t>
  </si>
  <si>
    <t>2454381.4274 </t>
  </si>
  <si>
    <t> 07.10.2007 22:15 </t>
  </si>
  <si>
    <t>4985</t>
  </si>
  <si>
    <t>C </t>
  </si>
  <si>
    <t> W.Quester </t>
  </si>
  <si>
    <t>BAVM 193 </t>
  </si>
  <si>
    <t>2455084.3655 </t>
  </si>
  <si>
    <t> 09.09.2009 20:46 </t>
  </si>
  <si>
    <t>5260</t>
  </si>
  <si>
    <t> 0.0061 </t>
  </si>
  <si>
    <t> J.Schirmer </t>
  </si>
  <si>
    <t>BAVM 212 </t>
  </si>
  <si>
    <t>2455476.734 </t>
  </si>
  <si>
    <t> 07.10.2010 05:36 </t>
  </si>
  <si>
    <t>5413.5</t>
  </si>
  <si>
    <t> 0.008 </t>
  </si>
  <si>
    <t>IBVS 5960 </t>
  </si>
  <si>
    <t>2455874.2126 </t>
  </si>
  <si>
    <t> 08.11.2011 17:06 </t>
  </si>
  <si>
    <t>5569</t>
  </si>
  <si>
    <t> 0.0072 </t>
  </si>
  <si>
    <t> D.Böhme </t>
  </si>
  <si>
    <t>BAVM 225 </t>
  </si>
  <si>
    <t>2455879.3153 </t>
  </si>
  <si>
    <t> 13.11.2011 19:34 </t>
  </si>
  <si>
    <t>5571</t>
  </si>
  <si>
    <t> -0.0024 </t>
  </si>
  <si>
    <t> U.Schmidt </t>
  </si>
  <si>
    <t>2456155.38641 </t>
  </si>
  <si>
    <t> 15.08.2012 21:16 </t>
  </si>
  <si>
    <t>5679</t>
  </si>
  <si>
    <t> 0.00607 </t>
  </si>
  <si>
    <t> M.Urbanik </t>
  </si>
  <si>
    <t>OEJV 0160 </t>
  </si>
  <si>
    <t>2456155.38802 </t>
  </si>
  <si>
    <t> 15.08.2012 21:18 </t>
  </si>
  <si>
    <t> 0.00768 </t>
  </si>
  <si>
    <t> M.Vitek </t>
  </si>
  <si>
    <t>2456219.28939 </t>
  </si>
  <si>
    <t> 18.10.2012 18:56 </t>
  </si>
  <si>
    <t>5704</t>
  </si>
  <si>
    <t> 0.00565 </t>
  </si>
  <si>
    <t>2456891.5531 </t>
  </si>
  <si>
    <t> 22.08.2014 01:16 </t>
  </si>
  <si>
    <t>5967</t>
  </si>
  <si>
    <t> 0.0056 </t>
  </si>
  <si>
    <t> F.Agerer </t>
  </si>
  <si>
    <t>BAVM 238 </t>
  </si>
  <si>
    <t>OEJV 0179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</si>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</sst>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CourierNewPSMT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14" fontId="8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8" fillId="0" borderId="0" xfId="0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GH Peg - O-C Diagr.</a:t>
            </a:r>
          </a:p>
        </c:rich>
      </c:tx>
      <c:layout>
        <c:manualLayout>
          <c:xMode val="edge"/>
          <c:yMode val="edge"/>
          <c:x val="0.3676981356711854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8006886287327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-1.6360000001441222E-2</c:v>
                </c:pt>
                <c:pt idx="1">
                  <c:v>-3.3320000002277084E-2</c:v>
                </c:pt>
                <c:pt idx="2">
                  <c:v>3.9727999999740859E-2</c:v>
                </c:pt>
                <c:pt idx="3">
                  <c:v>-1.2544000001071254E-2</c:v>
                </c:pt>
                <c:pt idx="4">
                  <c:v>-6.8080000055488199E-3</c:v>
                </c:pt>
                <c:pt idx="5">
                  <c:v>3.8879999996424885E-2</c:v>
                </c:pt>
                <c:pt idx="6">
                  <c:v>4.7655999998823972E-2</c:v>
                </c:pt>
                <c:pt idx="7">
                  <c:v>-2.6528000002144836E-2</c:v>
                </c:pt>
                <c:pt idx="8">
                  <c:v>2.9519999996409751E-2</c:v>
                </c:pt>
                <c:pt idx="9">
                  <c:v>-7.8800000010232907E-3</c:v>
                </c:pt>
                <c:pt idx="10">
                  <c:v>1.6079999950306956E-3</c:v>
                </c:pt>
                <c:pt idx="11">
                  <c:v>4.9359999939042609E-3</c:v>
                </c:pt>
                <c:pt idx="12">
                  <c:v>3.5359999965294264E-3</c:v>
                </c:pt>
                <c:pt idx="13">
                  <c:v>1.1535999998159241E-2</c:v>
                </c:pt>
                <c:pt idx="14">
                  <c:v>3.0311999998957617E-2</c:v>
                </c:pt>
                <c:pt idx="15">
                  <c:v>4.1183999994245823E-2</c:v>
                </c:pt>
                <c:pt idx="16">
                  <c:v>-1.8040000006294576E-2</c:v>
                </c:pt>
                <c:pt idx="17">
                  <c:v>3.7599999632220715E-4</c:v>
                </c:pt>
                <c:pt idx="18">
                  <c:v>-3.9848000000347383E-2</c:v>
                </c:pt>
                <c:pt idx="19">
                  <c:v>-1.0783999998238869E-2</c:v>
                </c:pt>
                <c:pt idx="20">
                  <c:v>-1.7272000004595611E-2</c:v>
                </c:pt>
                <c:pt idx="21">
                  <c:v>-8.4560000032070093E-3</c:v>
                </c:pt>
                <c:pt idx="22">
                  <c:v>1.6143999993801117E-2</c:v>
                </c:pt>
                <c:pt idx="23">
                  <c:v>4.014399999869056E-2</c:v>
                </c:pt>
                <c:pt idx="24">
                  <c:v>-2.7527999998710584E-2</c:v>
                </c:pt>
                <c:pt idx="25">
                  <c:v>-1.6479999976581894E-3</c:v>
                </c:pt>
                <c:pt idx="26">
                  <c:v>-4.0000000080908649E-3</c:v>
                </c:pt>
                <c:pt idx="27">
                  <c:v>2.1999999997206032E-2</c:v>
                </c:pt>
                <c:pt idx="28">
                  <c:v>4.499999999825377E-2</c:v>
                </c:pt>
                <c:pt idx="29">
                  <c:v>-1.4272000000346452E-2</c:v>
                </c:pt>
                <c:pt idx="30">
                  <c:v>-1.3600000020232983E-3</c:v>
                </c:pt>
                <c:pt idx="31">
                  <c:v>-1.4096000006247777E-2</c:v>
                </c:pt>
                <c:pt idx="32">
                  <c:v>2.7223999997659121E-2</c:v>
                </c:pt>
                <c:pt idx="33">
                  <c:v>6.9519999960903078E-3</c:v>
                </c:pt>
                <c:pt idx="34">
                  <c:v>7.4759999915841036E-3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2-4676-88C1-80042F843A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6">
                  <c:v>2.519999907235615E-4</c:v>
                </c:pt>
                <c:pt idx="37">
                  <c:v>-1.720000000204891E-3</c:v>
                </c:pt>
                <c:pt idx="38">
                  <c:v>2.2800000006100163E-3</c:v>
                </c:pt>
                <c:pt idx="39">
                  <c:v>-1.2420000006386545E-2</c:v>
                </c:pt>
                <c:pt idx="40">
                  <c:v>6.5199999953620136E-3</c:v>
                </c:pt>
                <c:pt idx="41">
                  <c:v>8.6880000017117709E-3</c:v>
                </c:pt>
                <c:pt idx="44">
                  <c:v>-8.3199999789940193E-4</c:v>
                </c:pt>
                <c:pt idx="45">
                  <c:v>9.0319999944767915E-3</c:v>
                </c:pt>
                <c:pt idx="46">
                  <c:v>8.5599999874830246E-4</c:v>
                </c:pt>
                <c:pt idx="53">
                  <c:v>7.7639999944949523E-3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2-4676-88C1-80042F843A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8">
                  <c:v>5.2719999948749319E-3</c:v>
                </c:pt>
                <c:pt idx="49">
                  <c:v>4.5879999961471185E-3</c:v>
                </c:pt>
                <c:pt idx="60">
                  <c:v>5.5879999927128665E-3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2-4676-88C1-80042F843A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2">
                  <c:v>6.3399999926332384E-3</c:v>
                </c:pt>
                <c:pt idx="43">
                  <c:v>5.367999998270534E-3</c:v>
                </c:pt>
                <c:pt idx="47">
                  <c:v>1.1559999984456226E-3</c:v>
                </c:pt>
                <c:pt idx="50">
                  <c:v>5.8119999957852997E-3</c:v>
                </c:pt>
                <c:pt idx="51">
                  <c:v>5.4400000008172356E-3</c:v>
                </c:pt>
                <c:pt idx="52">
                  <c:v>6.1399999976856634E-3</c:v>
                </c:pt>
                <c:pt idx="54">
                  <c:v>7.215999998152256E-3</c:v>
                </c:pt>
                <c:pt idx="55">
                  <c:v>-2.3559999972349033E-3</c:v>
                </c:pt>
                <c:pt idx="56">
                  <c:v>6.0659999944618903E-3</c:v>
                </c:pt>
                <c:pt idx="57">
                  <c:v>7.6759999938076362E-3</c:v>
                </c:pt>
                <c:pt idx="58">
                  <c:v>5.6459999977960251E-3</c:v>
                </c:pt>
                <c:pt idx="59">
                  <c:v>6.385999993653968E-3</c:v>
                </c:pt>
                <c:pt idx="61">
                  <c:v>8.2899999979417771E-3</c:v>
                </c:pt>
                <c:pt idx="62">
                  <c:v>7.237999998324085E-3</c:v>
                </c:pt>
                <c:pt idx="63">
                  <c:v>8.4839999981340952E-3</c:v>
                </c:pt>
                <c:pt idx="64">
                  <c:v>1.3117999995301943E-2</c:v>
                </c:pt>
                <c:pt idx="65">
                  <c:v>8.4760000027017668E-3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2-4676-88C1-80042F843A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2-4676-88C1-80042F843A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2-4676-88C1-80042F843A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3">
                    <c:v>1E-3</c:v>
                  </c:pt>
                  <c:pt idx="46">
                    <c:v>1.6000000000000001E-3</c:v>
                  </c:pt>
                  <c:pt idx="49">
                    <c:v>4.0000000000000002E-4</c:v>
                  </c:pt>
                  <c:pt idx="53">
                    <c:v>3.0000000000000001E-3</c:v>
                  </c:pt>
                  <c:pt idx="56">
                    <c:v>1E-4</c:v>
                  </c:pt>
                  <c:pt idx="57">
                    <c:v>2E-3</c:v>
                  </c:pt>
                  <c:pt idx="58">
                    <c:v>2.0000000000000001E-4</c:v>
                  </c:pt>
                  <c:pt idx="59">
                    <c:v>2.9999999999999997E-4</c:v>
                  </c:pt>
                  <c:pt idx="60">
                    <c:v>1.2999999999999999E-3</c:v>
                  </c:pt>
                  <c:pt idx="61">
                    <c:v>2.0000000000000001E-4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8.0000000000000004E-4</c:v>
                  </c:pt>
                  <c:pt idx="65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2-4676-88C1-80042F843A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-5865</c:v>
                </c:pt>
                <c:pt idx="1">
                  <c:v>-5755</c:v>
                </c:pt>
                <c:pt idx="2">
                  <c:v>-5748</c:v>
                </c:pt>
                <c:pt idx="3">
                  <c:v>-5746</c:v>
                </c:pt>
                <c:pt idx="4">
                  <c:v>-5597</c:v>
                </c:pt>
                <c:pt idx="5">
                  <c:v>-5455</c:v>
                </c:pt>
                <c:pt idx="6">
                  <c:v>-5446</c:v>
                </c:pt>
                <c:pt idx="7">
                  <c:v>-5327</c:v>
                </c:pt>
                <c:pt idx="8">
                  <c:v>-5320</c:v>
                </c:pt>
                <c:pt idx="9">
                  <c:v>-5295</c:v>
                </c:pt>
                <c:pt idx="10">
                  <c:v>-5203</c:v>
                </c:pt>
                <c:pt idx="11">
                  <c:v>-5176</c:v>
                </c:pt>
                <c:pt idx="12">
                  <c:v>-4901</c:v>
                </c:pt>
                <c:pt idx="13">
                  <c:v>-4901</c:v>
                </c:pt>
                <c:pt idx="14">
                  <c:v>-4892</c:v>
                </c:pt>
                <c:pt idx="15">
                  <c:v>-4869</c:v>
                </c:pt>
                <c:pt idx="16">
                  <c:v>-4860</c:v>
                </c:pt>
                <c:pt idx="17">
                  <c:v>-3466</c:v>
                </c:pt>
                <c:pt idx="18">
                  <c:v>-3457</c:v>
                </c:pt>
                <c:pt idx="19">
                  <c:v>-3031</c:v>
                </c:pt>
                <c:pt idx="20">
                  <c:v>-2873</c:v>
                </c:pt>
                <c:pt idx="21">
                  <c:v>-2754</c:v>
                </c:pt>
                <c:pt idx="22">
                  <c:v>-2729</c:v>
                </c:pt>
                <c:pt idx="23">
                  <c:v>-2479</c:v>
                </c:pt>
                <c:pt idx="24">
                  <c:v>-2452</c:v>
                </c:pt>
                <c:pt idx="25">
                  <c:v>-1907</c:v>
                </c:pt>
                <c:pt idx="26">
                  <c:v>-1875</c:v>
                </c:pt>
                <c:pt idx="27">
                  <c:v>-1875</c:v>
                </c:pt>
                <c:pt idx="28">
                  <c:v>-1875</c:v>
                </c:pt>
                <c:pt idx="29">
                  <c:v>-1873</c:v>
                </c:pt>
                <c:pt idx="30">
                  <c:v>-1740</c:v>
                </c:pt>
                <c:pt idx="31">
                  <c:v>-14</c:v>
                </c:pt>
                <c:pt idx="32">
                  <c:v>-9</c:v>
                </c:pt>
                <c:pt idx="33">
                  <c:v>-7</c:v>
                </c:pt>
                <c:pt idx="34">
                  <c:v>-3.5</c:v>
                </c:pt>
                <c:pt idx="35">
                  <c:v>0</c:v>
                </c:pt>
                <c:pt idx="36">
                  <c:v>5.5</c:v>
                </c:pt>
                <c:pt idx="37">
                  <c:v>1270</c:v>
                </c:pt>
                <c:pt idx="38">
                  <c:v>1270</c:v>
                </c:pt>
                <c:pt idx="39">
                  <c:v>1282.5</c:v>
                </c:pt>
                <c:pt idx="40">
                  <c:v>1680</c:v>
                </c:pt>
                <c:pt idx="41">
                  <c:v>2142</c:v>
                </c:pt>
                <c:pt idx="42">
                  <c:v>2435</c:v>
                </c:pt>
                <c:pt idx="43">
                  <c:v>2687</c:v>
                </c:pt>
                <c:pt idx="44">
                  <c:v>2712</c:v>
                </c:pt>
                <c:pt idx="45">
                  <c:v>2838</c:v>
                </c:pt>
                <c:pt idx="46">
                  <c:v>2854</c:v>
                </c:pt>
                <c:pt idx="47">
                  <c:v>2854</c:v>
                </c:pt>
                <c:pt idx="48">
                  <c:v>3273</c:v>
                </c:pt>
                <c:pt idx="49">
                  <c:v>3717</c:v>
                </c:pt>
                <c:pt idx="50">
                  <c:v>4283</c:v>
                </c:pt>
                <c:pt idx="51">
                  <c:v>4985</c:v>
                </c:pt>
                <c:pt idx="52">
                  <c:v>5260</c:v>
                </c:pt>
                <c:pt idx="53">
                  <c:v>5413.5</c:v>
                </c:pt>
                <c:pt idx="54">
                  <c:v>5569</c:v>
                </c:pt>
                <c:pt idx="55">
                  <c:v>5571</c:v>
                </c:pt>
                <c:pt idx="56">
                  <c:v>5679</c:v>
                </c:pt>
                <c:pt idx="57">
                  <c:v>5679</c:v>
                </c:pt>
                <c:pt idx="58">
                  <c:v>5704</c:v>
                </c:pt>
                <c:pt idx="59">
                  <c:v>5949</c:v>
                </c:pt>
                <c:pt idx="60">
                  <c:v>5967</c:v>
                </c:pt>
                <c:pt idx="61">
                  <c:v>5990</c:v>
                </c:pt>
                <c:pt idx="62">
                  <c:v>6107</c:v>
                </c:pt>
                <c:pt idx="63">
                  <c:v>6116</c:v>
                </c:pt>
                <c:pt idx="64">
                  <c:v>6254.5</c:v>
                </c:pt>
                <c:pt idx="65">
                  <c:v>6859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3.7724510086598927E-3</c:v>
                </c:pt>
                <c:pt idx="1">
                  <c:v>3.7908175106818915E-3</c:v>
                </c:pt>
                <c:pt idx="2">
                  <c:v>3.7919862880832914E-3</c:v>
                </c:pt>
                <c:pt idx="3">
                  <c:v>3.7923202244836913E-3</c:v>
                </c:pt>
                <c:pt idx="4">
                  <c:v>3.8171984863134894E-3</c:v>
                </c:pt>
                <c:pt idx="5">
                  <c:v>3.8409079707418877E-3</c:v>
                </c:pt>
                <c:pt idx="6">
                  <c:v>3.8424106845436875E-3</c:v>
                </c:pt>
                <c:pt idx="7">
                  <c:v>3.862279900367486E-3</c:v>
                </c:pt>
                <c:pt idx="8">
                  <c:v>3.8634486777688859E-3</c:v>
                </c:pt>
                <c:pt idx="9">
                  <c:v>3.8676228827738855E-3</c:v>
                </c:pt>
                <c:pt idx="10">
                  <c:v>3.8829839571922842E-3</c:v>
                </c:pt>
                <c:pt idx="11">
                  <c:v>3.887492098597684E-3</c:v>
                </c:pt>
                <c:pt idx="12">
                  <c:v>3.9334083536526803E-3</c:v>
                </c:pt>
                <c:pt idx="13">
                  <c:v>3.9334083536526803E-3</c:v>
                </c:pt>
                <c:pt idx="14">
                  <c:v>3.9349110674544805E-3</c:v>
                </c:pt>
                <c:pt idx="15">
                  <c:v>3.9387513360590798E-3</c:v>
                </c:pt>
                <c:pt idx="16">
                  <c:v>3.94025404986088E-3</c:v>
                </c:pt>
                <c:pt idx="17">
                  <c:v>4.1730077209396624E-3</c:v>
                </c:pt>
                <c:pt idx="18">
                  <c:v>4.1745104347414618E-3</c:v>
                </c:pt>
                <c:pt idx="19">
                  <c:v>4.2456388880266569E-3</c:v>
                </c:pt>
                <c:pt idx="20">
                  <c:v>4.2720198636582545E-3</c:v>
                </c:pt>
                <c:pt idx="21">
                  <c:v>4.291889079482053E-3</c:v>
                </c:pt>
                <c:pt idx="22">
                  <c:v>4.296063284487053E-3</c:v>
                </c:pt>
                <c:pt idx="23">
                  <c:v>4.3378053345370492E-3</c:v>
                </c:pt>
                <c:pt idx="24">
                  <c:v>4.3423134759424491E-3</c:v>
                </c:pt>
                <c:pt idx="25">
                  <c:v>4.4333111450514419E-3</c:v>
                </c:pt>
                <c:pt idx="26">
                  <c:v>4.4386541274578414E-3</c:v>
                </c:pt>
                <c:pt idx="27">
                  <c:v>4.4386541274578414E-3</c:v>
                </c:pt>
                <c:pt idx="28">
                  <c:v>4.4386541274578414E-3</c:v>
                </c:pt>
                <c:pt idx="29">
                  <c:v>4.4389880638582412E-3</c:v>
                </c:pt>
                <c:pt idx="30">
                  <c:v>4.4611948344848397E-3</c:v>
                </c:pt>
                <c:pt idx="31">
                  <c:v>4.7493819480300178E-3</c:v>
                </c:pt>
                <c:pt idx="32">
                  <c:v>4.7502167890310174E-3</c:v>
                </c:pt>
                <c:pt idx="33">
                  <c:v>4.7505507254314181E-3</c:v>
                </c:pt>
                <c:pt idx="34">
                  <c:v>4.7511351141321179E-3</c:v>
                </c:pt>
                <c:pt idx="35">
                  <c:v>4.7517195028328177E-3</c:v>
                </c:pt>
                <c:pt idx="36">
                  <c:v>4.7526378279339173E-3</c:v>
                </c:pt>
                <c:pt idx="37">
                  <c:v>4.963769117086801E-3</c:v>
                </c:pt>
                <c:pt idx="38">
                  <c:v>4.963769117086801E-3</c:v>
                </c:pt>
                <c:pt idx="39">
                  <c:v>4.965856219589301E-3</c:v>
                </c:pt>
                <c:pt idx="40">
                  <c:v>5.0322260791687964E-3</c:v>
                </c:pt>
                <c:pt idx="41">
                  <c:v>5.1093653876611899E-3</c:v>
                </c:pt>
                <c:pt idx="42">
                  <c:v>5.1582870703197866E-3</c:v>
                </c:pt>
                <c:pt idx="43">
                  <c:v>5.2003630567701836E-3</c:v>
                </c:pt>
                <c:pt idx="44">
                  <c:v>5.2045372617751827E-3</c:v>
                </c:pt>
                <c:pt idx="45">
                  <c:v>5.2255752550003816E-3</c:v>
                </c:pt>
                <c:pt idx="46">
                  <c:v>5.2282467462035813E-3</c:v>
                </c:pt>
                <c:pt idx="47">
                  <c:v>5.2282467462035813E-3</c:v>
                </c:pt>
                <c:pt idx="48">
                  <c:v>5.2982064220873752E-3</c:v>
                </c:pt>
                <c:pt idx="49">
                  <c:v>5.3723403029761699E-3</c:v>
                </c:pt>
                <c:pt idx="50">
                  <c:v>5.466844304289363E-3</c:v>
                </c:pt>
                <c:pt idx="51">
                  <c:v>5.5840559808297534E-3</c:v>
                </c:pt>
                <c:pt idx="52">
                  <c:v>5.6299722358847505E-3</c:v>
                </c:pt>
                <c:pt idx="53">
                  <c:v>5.6556018546154484E-3</c:v>
                </c:pt>
                <c:pt idx="54">
                  <c:v>5.6815654097465461E-3</c:v>
                </c:pt>
                <c:pt idx="55">
                  <c:v>5.681899346146946E-3</c:v>
                </c:pt>
                <c:pt idx="56">
                  <c:v>5.6999319117685444E-3</c:v>
                </c:pt>
                <c:pt idx="57">
                  <c:v>5.6999319117685444E-3</c:v>
                </c:pt>
                <c:pt idx="58">
                  <c:v>5.7041061167735444E-3</c:v>
                </c:pt>
                <c:pt idx="59">
                  <c:v>5.745013325822541E-3</c:v>
                </c:pt>
                <c:pt idx="60">
                  <c:v>5.7480187534261415E-3</c:v>
                </c:pt>
                <c:pt idx="61">
                  <c:v>5.7518590220307407E-3</c:v>
                </c:pt>
                <c:pt idx="62">
                  <c:v>5.7713943014541394E-3</c:v>
                </c:pt>
                <c:pt idx="63">
                  <c:v>5.7728970152559397E-3</c:v>
                </c:pt>
                <c:pt idx="64">
                  <c:v>5.7960221109836377E-3</c:v>
                </c:pt>
                <c:pt idx="65">
                  <c:v>5.8969543880045298E-3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2-4676-88C1-80042F84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925136"/>
        <c:axId val="1"/>
      </c:scatterChart>
      <c:valAx>
        <c:axId val="65692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4097825400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92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8558414734239"/>
          <c:y val="0.92000129214617399"/>
          <c:w val="0.7182143211480008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9525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5FD65-6204-D551-E73A-B6EAC0EE6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0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9" TargetMode="External"/><Relationship Id="rId6" Type="http://schemas.openxmlformats.org/officeDocument/2006/relationships/hyperlink" Target="http://www.bav-astro.de/sfs/BAVM_link.php?BAVMnr=118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90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11" t="s">
        <v>38</v>
      </c>
    </row>
    <row r="4" spans="1:6" ht="14.25" thickTop="1" thickBot="1">
      <c r="A4" s="6" t="s">
        <v>0</v>
      </c>
      <c r="C4" s="3">
        <v>41639.084000000003</v>
      </c>
      <c r="D4" s="4">
        <v>2.556136</v>
      </c>
    </row>
    <row r="5" spans="1:6" ht="13.5" thickTop="1">
      <c r="A5" s="14" t="s">
        <v>41</v>
      </c>
      <c r="B5" s="15"/>
      <c r="C5" s="16">
        <v>-9.5</v>
      </c>
      <c r="D5" s="15" t="s">
        <v>42</v>
      </c>
    </row>
    <row r="6" spans="1:6">
      <c r="A6" s="6" t="s">
        <v>1</v>
      </c>
    </row>
    <row r="7" spans="1:6">
      <c r="A7" t="s">
        <v>2</v>
      </c>
      <c r="C7">
        <f>+C4</f>
        <v>41639.084000000003</v>
      </c>
    </row>
    <row r="8" spans="1:6">
      <c r="A8" t="s">
        <v>3</v>
      </c>
      <c r="C8">
        <f>+D4</f>
        <v>2.556136</v>
      </c>
    </row>
    <row r="9" spans="1:6">
      <c r="A9" s="30" t="s">
        <v>48</v>
      </c>
      <c r="B9" s="31">
        <v>21</v>
      </c>
      <c r="C9" s="28" t="str">
        <f>"F"&amp;B9</f>
        <v>F21</v>
      </c>
      <c r="D9" s="29" t="str">
        <f>"G"&amp;B9</f>
        <v>G21</v>
      </c>
    </row>
    <row r="10" spans="1:6" ht="13.5" thickBot="1">
      <c r="A10" s="15"/>
      <c r="B10" s="15"/>
      <c r="C10" s="5" t="s">
        <v>20</v>
      </c>
      <c r="D10" s="5" t="s">
        <v>21</v>
      </c>
      <c r="E10" s="15"/>
    </row>
    <row r="11" spans="1:6">
      <c r="A11" s="15" t="s">
        <v>16</v>
      </c>
      <c r="B11" s="15"/>
      <c r="C11" s="27">
        <f ca="1">INTERCEPT(INDIRECT($D$9):G992,INDIRECT($C$9):F992)</f>
        <v>4.7517195028328177E-3</v>
      </c>
      <c r="D11" s="17"/>
      <c r="E11" s="15"/>
    </row>
    <row r="12" spans="1:6">
      <c r="A12" s="15" t="s">
        <v>17</v>
      </c>
      <c r="B12" s="15"/>
      <c r="C12" s="27">
        <f ca="1">SLOPE(INDIRECT($D$9):G992,INDIRECT($C$9):F992)</f>
        <v>1.6696820019998718E-7</v>
      </c>
      <c r="D12" s="17"/>
      <c r="E12" s="15"/>
    </row>
    <row r="13" spans="1:6">
      <c r="A13" s="15" t="s">
        <v>19</v>
      </c>
      <c r="B13" s="15"/>
      <c r="C13" s="17" t="s">
        <v>14</v>
      </c>
    </row>
    <row r="14" spans="1:6">
      <c r="A14" s="15"/>
      <c r="B14" s="15"/>
      <c r="C14" s="15"/>
    </row>
    <row r="15" spans="1:6">
      <c r="A15" s="18" t="s">
        <v>18</v>
      </c>
      <c r="B15" s="15"/>
      <c r="C15" s="19">
        <f ca="1">(C7+C11)+(C8+C12)*INT(MAX(F21:F3533))</f>
        <v>59171.626720954388</v>
      </c>
      <c r="E15" s="20" t="s">
        <v>46</v>
      </c>
      <c r="F15" s="16">
        <v>1</v>
      </c>
    </row>
    <row r="16" spans="1:6">
      <c r="A16" s="22" t="s">
        <v>4</v>
      </c>
      <c r="B16" s="15"/>
      <c r="C16" s="23">
        <f ca="1">+C8+C12</f>
        <v>2.5561361669682001</v>
      </c>
      <c r="E16" s="20" t="s">
        <v>43</v>
      </c>
      <c r="F16" s="21">
        <f ca="1">NOW()+15018.5+$C$5/24</f>
        <v>60162.827456712963</v>
      </c>
    </row>
    <row r="17" spans="1:17" ht="13.5" thickBot="1">
      <c r="A17" s="20" t="s">
        <v>39</v>
      </c>
      <c r="B17" s="15"/>
      <c r="C17" s="15">
        <f>COUNT(C21:C2191)</f>
        <v>66</v>
      </c>
      <c r="E17" s="20" t="s">
        <v>47</v>
      </c>
      <c r="F17" s="21">
        <f ca="1">ROUND(2*(F16-$C$7)/$C$8,0)/2+F15</f>
        <v>7248</v>
      </c>
    </row>
    <row r="18" spans="1:17" ht="14.25" thickTop="1" thickBot="1">
      <c r="A18" s="22" t="s">
        <v>5</v>
      </c>
      <c r="B18" s="15"/>
      <c r="C18" s="25">
        <f ca="1">+C15</f>
        <v>59171.626720954388</v>
      </c>
      <c r="D18" s="26">
        <f ca="1">+C16</f>
        <v>2.5561361669682001</v>
      </c>
      <c r="E18" s="20" t="s">
        <v>44</v>
      </c>
      <c r="F18" s="29">
        <f ca="1">ROUND(2*(F16-$C$15)/$C$16,0)/2+F15</f>
        <v>389</v>
      </c>
    </row>
    <row r="19" spans="1:17" ht="13.5" thickTop="1">
      <c r="E19" s="20" t="s">
        <v>45</v>
      </c>
      <c r="F19" s="24">
        <f ca="1">+$C$15+$C$16*F18-15018.5-$C$5/24</f>
        <v>45147.859523238352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61</v>
      </c>
      <c r="I20" s="8" t="s">
        <v>64</v>
      </c>
      <c r="J20" s="8" t="s">
        <v>58</v>
      </c>
      <c r="K20" s="8" t="s">
        <v>56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s="45" t="s">
        <v>70</v>
      </c>
      <c r="B21" s="47" t="s">
        <v>51</v>
      </c>
      <c r="C21" s="46">
        <v>26647.33</v>
      </c>
      <c r="D21" s="12"/>
      <c r="E21">
        <f t="shared" ref="E21:E52" si="0">+(C21-C$7)/C$8</f>
        <v>-5865.0064002854315</v>
      </c>
      <c r="F21">
        <f t="shared" ref="F21:F52" si="1">ROUND(2*E21,0)/2</f>
        <v>-5865</v>
      </c>
      <c r="G21">
        <f t="shared" ref="G21:G59" si="2">+C21-(C$7+F21*C$8)</f>
        <v>-1.6360000001441222E-2</v>
      </c>
      <c r="H21">
        <f t="shared" ref="H21:H55" si="3">G21</f>
        <v>-1.6360000001441222E-2</v>
      </c>
      <c r="O21">
        <f t="shared" ref="O21:O52" ca="1" si="4">+C$11+C$12*F21</f>
        <v>3.7724510086598927E-3</v>
      </c>
      <c r="Q21" s="2">
        <f t="shared" ref="Q21:Q52" si="5">+C21-15018.5</f>
        <v>11628.830000000002</v>
      </c>
    </row>
    <row r="22" spans="1:17">
      <c r="A22" s="45" t="s">
        <v>70</v>
      </c>
      <c r="B22" s="47" t="s">
        <v>51</v>
      </c>
      <c r="C22" s="46">
        <v>26928.488000000001</v>
      </c>
      <c r="D22" s="12"/>
      <c r="E22">
        <f t="shared" si="0"/>
        <v>-5755.0130353001568</v>
      </c>
      <c r="F22">
        <f t="shared" si="1"/>
        <v>-5755</v>
      </c>
      <c r="G22">
        <f t="shared" si="2"/>
        <v>-3.3320000002277084E-2</v>
      </c>
      <c r="H22">
        <f t="shared" si="3"/>
        <v>-3.3320000002277084E-2</v>
      </c>
      <c r="O22">
        <f t="shared" ca="1" si="4"/>
        <v>3.7908175106818915E-3</v>
      </c>
      <c r="Q22" s="2">
        <f t="shared" si="5"/>
        <v>11909.988000000001</v>
      </c>
    </row>
    <row r="23" spans="1:17">
      <c r="A23" s="45" t="s">
        <v>78</v>
      </c>
      <c r="B23" s="47" t="s">
        <v>51</v>
      </c>
      <c r="C23" s="46">
        <v>26946.454000000002</v>
      </c>
      <c r="D23" s="12"/>
      <c r="E23">
        <f t="shared" si="0"/>
        <v>-5747.9844577909789</v>
      </c>
      <c r="F23">
        <f t="shared" si="1"/>
        <v>-5748</v>
      </c>
      <c r="G23">
        <f t="shared" si="2"/>
        <v>3.9727999999740859E-2</v>
      </c>
      <c r="H23">
        <f t="shared" si="3"/>
        <v>3.9727999999740859E-2</v>
      </c>
      <c r="O23">
        <f t="shared" ca="1" si="4"/>
        <v>3.7919862880832914E-3</v>
      </c>
      <c r="Q23" s="2">
        <f t="shared" si="5"/>
        <v>11927.954000000002</v>
      </c>
    </row>
    <row r="24" spans="1:17">
      <c r="A24" s="45" t="s">
        <v>78</v>
      </c>
      <c r="B24" s="47" t="s">
        <v>51</v>
      </c>
      <c r="C24" s="46">
        <v>26951.513999999999</v>
      </c>
      <c r="D24" s="12"/>
      <c r="E24">
        <f t="shared" si="0"/>
        <v>-5746.0049074071194</v>
      </c>
      <c r="F24">
        <f t="shared" si="1"/>
        <v>-5746</v>
      </c>
      <c r="G24">
        <f t="shared" si="2"/>
        <v>-1.2544000001071254E-2</v>
      </c>
      <c r="H24">
        <f t="shared" si="3"/>
        <v>-1.2544000001071254E-2</v>
      </c>
      <c r="O24">
        <f t="shared" ca="1" si="4"/>
        <v>3.7923202244836913E-3</v>
      </c>
      <c r="Q24" s="2">
        <f t="shared" si="5"/>
        <v>11933.013999999999</v>
      </c>
    </row>
    <row r="25" spans="1:17">
      <c r="A25" s="45" t="s">
        <v>70</v>
      </c>
      <c r="B25" s="47" t="s">
        <v>51</v>
      </c>
      <c r="C25" s="46">
        <v>27332.383999999998</v>
      </c>
      <c r="D25" s="12"/>
      <c r="E25">
        <f t="shared" si="0"/>
        <v>-5597.0026633950638</v>
      </c>
      <c r="F25">
        <f t="shared" si="1"/>
        <v>-5597</v>
      </c>
      <c r="G25">
        <f t="shared" si="2"/>
        <v>-6.8080000055488199E-3</v>
      </c>
      <c r="H25">
        <f t="shared" si="3"/>
        <v>-6.8080000055488199E-3</v>
      </c>
      <c r="O25">
        <f t="shared" ca="1" si="4"/>
        <v>3.8171984863134894E-3</v>
      </c>
      <c r="Q25" s="2">
        <f t="shared" si="5"/>
        <v>12313.883999999998</v>
      </c>
    </row>
    <row r="26" spans="1:17">
      <c r="A26" s="45" t="s">
        <v>78</v>
      </c>
      <c r="B26" s="47" t="s">
        <v>51</v>
      </c>
      <c r="C26" s="46">
        <v>27695.401000000002</v>
      </c>
      <c r="D26" s="12"/>
      <c r="E26">
        <f t="shared" si="0"/>
        <v>-5454.9847895417151</v>
      </c>
      <c r="F26">
        <f t="shared" si="1"/>
        <v>-5455</v>
      </c>
      <c r="G26">
        <f t="shared" si="2"/>
        <v>3.8879999996424885E-2</v>
      </c>
      <c r="H26">
        <f t="shared" si="3"/>
        <v>3.8879999996424885E-2</v>
      </c>
      <c r="O26">
        <f t="shared" ca="1" si="4"/>
        <v>3.8409079707418877E-3</v>
      </c>
      <c r="Q26" s="2">
        <f t="shared" si="5"/>
        <v>12676.901000000002</v>
      </c>
    </row>
    <row r="27" spans="1:17">
      <c r="A27" s="45" t="s">
        <v>78</v>
      </c>
      <c r="B27" s="47" t="s">
        <v>51</v>
      </c>
      <c r="C27" s="46">
        <v>27718.415000000001</v>
      </c>
      <c r="D27" s="12"/>
      <c r="E27">
        <f t="shared" si="0"/>
        <v>-5445.9813562345671</v>
      </c>
      <c r="F27">
        <f t="shared" si="1"/>
        <v>-5446</v>
      </c>
      <c r="G27">
        <f t="shared" si="2"/>
        <v>4.7655999998823972E-2</v>
      </c>
      <c r="H27">
        <f t="shared" si="3"/>
        <v>4.7655999998823972E-2</v>
      </c>
      <c r="O27">
        <f t="shared" ca="1" si="4"/>
        <v>3.8424106845436875E-3</v>
      </c>
      <c r="Q27" s="2">
        <f t="shared" si="5"/>
        <v>12699.915000000001</v>
      </c>
    </row>
    <row r="28" spans="1:17">
      <c r="A28" s="45" t="s">
        <v>78</v>
      </c>
      <c r="B28" s="47" t="s">
        <v>51</v>
      </c>
      <c r="C28" s="46">
        <v>28022.521000000001</v>
      </c>
      <c r="D28" s="12"/>
      <c r="E28">
        <f t="shared" si="0"/>
        <v>-5327.010378164543</v>
      </c>
      <c r="F28">
        <f t="shared" si="1"/>
        <v>-5327</v>
      </c>
      <c r="G28">
        <f t="shared" si="2"/>
        <v>-2.6528000002144836E-2</v>
      </c>
      <c r="H28">
        <f t="shared" si="3"/>
        <v>-2.6528000002144836E-2</v>
      </c>
      <c r="O28">
        <f t="shared" ca="1" si="4"/>
        <v>3.862279900367486E-3</v>
      </c>
      <c r="Q28" s="2">
        <f t="shared" si="5"/>
        <v>13004.021000000001</v>
      </c>
    </row>
    <row r="29" spans="1:17">
      <c r="A29" s="45" t="s">
        <v>78</v>
      </c>
      <c r="B29" s="47" t="s">
        <v>51</v>
      </c>
      <c r="C29" s="46">
        <v>28040.47</v>
      </c>
      <c r="D29" s="12"/>
      <c r="E29">
        <f t="shared" si="0"/>
        <v>-5319.9884513187098</v>
      </c>
      <c r="F29">
        <f t="shared" si="1"/>
        <v>-5320</v>
      </c>
      <c r="G29">
        <f t="shared" si="2"/>
        <v>2.9519999996409751E-2</v>
      </c>
      <c r="H29">
        <f t="shared" si="3"/>
        <v>2.9519999996409751E-2</v>
      </c>
      <c r="O29">
        <f t="shared" ca="1" si="4"/>
        <v>3.8634486777688859E-3</v>
      </c>
      <c r="Q29" s="2">
        <f t="shared" si="5"/>
        <v>13021.970000000001</v>
      </c>
    </row>
    <row r="30" spans="1:17">
      <c r="A30" s="45" t="s">
        <v>78</v>
      </c>
      <c r="B30" s="47" t="s">
        <v>51</v>
      </c>
      <c r="C30" s="46">
        <v>28104.335999999999</v>
      </c>
      <c r="D30" s="12"/>
      <c r="E30">
        <f t="shared" si="0"/>
        <v>-5295.0030827780693</v>
      </c>
      <c r="F30">
        <f t="shared" si="1"/>
        <v>-5295</v>
      </c>
      <c r="G30">
        <f t="shared" si="2"/>
        <v>-7.8800000010232907E-3</v>
      </c>
      <c r="H30">
        <f t="shared" si="3"/>
        <v>-7.8800000010232907E-3</v>
      </c>
      <c r="O30">
        <f t="shared" ca="1" si="4"/>
        <v>3.8676228827738855E-3</v>
      </c>
      <c r="Q30" s="2">
        <f t="shared" si="5"/>
        <v>13085.835999999999</v>
      </c>
    </row>
    <row r="31" spans="1:17">
      <c r="A31" s="45" t="s">
        <v>70</v>
      </c>
      <c r="B31" s="47" t="s">
        <v>51</v>
      </c>
      <c r="C31" s="46">
        <v>28339.51</v>
      </c>
      <c r="D31" s="12"/>
      <c r="E31">
        <f t="shared" si="0"/>
        <v>-5202.9993709254923</v>
      </c>
      <c r="F31">
        <f t="shared" si="1"/>
        <v>-5203</v>
      </c>
      <c r="G31">
        <f t="shared" si="2"/>
        <v>1.6079999950306956E-3</v>
      </c>
      <c r="H31">
        <f t="shared" si="3"/>
        <v>1.6079999950306956E-3</v>
      </c>
      <c r="O31">
        <f t="shared" ca="1" si="4"/>
        <v>3.8829839571922842E-3</v>
      </c>
      <c r="Q31" s="2">
        <f t="shared" si="5"/>
        <v>13321.009999999998</v>
      </c>
    </row>
    <row r="32" spans="1:17">
      <c r="A32" s="45" t="s">
        <v>78</v>
      </c>
      <c r="B32" s="47" t="s">
        <v>51</v>
      </c>
      <c r="C32" s="46">
        <v>28408.528999999999</v>
      </c>
      <c r="D32" s="12"/>
      <c r="E32">
        <f t="shared" si="0"/>
        <v>-5175.998068960339</v>
      </c>
      <c r="F32">
        <f t="shared" si="1"/>
        <v>-5176</v>
      </c>
      <c r="G32">
        <f t="shared" si="2"/>
        <v>4.9359999939042609E-3</v>
      </c>
      <c r="H32">
        <f t="shared" si="3"/>
        <v>4.9359999939042609E-3</v>
      </c>
      <c r="O32">
        <f t="shared" ca="1" si="4"/>
        <v>3.887492098597684E-3</v>
      </c>
      <c r="Q32" s="2">
        <f t="shared" si="5"/>
        <v>13390.028999999999</v>
      </c>
    </row>
    <row r="33" spans="1:17">
      <c r="A33" s="45" t="s">
        <v>78</v>
      </c>
      <c r="B33" s="47" t="s">
        <v>51</v>
      </c>
      <c r="C33" s="46">
        <v>29111.465</v>
      </c>
      <c r="D33" s="12"/>
      <c r="E33">
        <f t="shared" si="0"/>
        <v>-4900.9986166620256</v>
      </c>
      <c r="F33">
        <f t="shared" si="1"/>
        <v>-4901</v>
      </c>
      <c r="G33">
        <f t="shared" si="2"/>
        <v>3.5359999965294264E-3</v>
      </c>
      <c r="H33">
        <f t="shared" si="3"/>
        <v>3.5359999965294264E-3</v>
      </c>
      <c r="O33">
        <f t="shared" ca="1" si="4"/>
        <v>3.9334083536526803E-3</v>
      </c>
      <c r="Q33" s="2">
        <f t="shared" si="5"/>
        <v>14092.965</v>
      </c>
    </row>
    <row r="34" spans="1:17">
      <c r="A34" s="45" t="s">
        <v>70</v>
      </c>
      <c r="B34" s="47" t="s">
        <v>51</v>
      </c>
      <c r="C34" s="46">
        <v>29111.473000000002</v>
      </c>
      <c r="D34" s="12"/>
      <c r="E34">
        <f t="shared" si="0"/>
        <v>-4900.9954869380972</v>
      </c>
      <c r="F34">
        <f t="shared" si="1"/>
        <v>-4901</v>
      </c>
      <c r="G34">
        <f t="shared" si="2"/>
        <v>1.1535999998159241E-2</v>
      </c>
      <c r="H34">
        <f t="shared" si="3"/>
        <v>1.1535999998159241E-2</v>
      </c>
      <c r="O34">
        <f t="shared" ca="1" si="4"/>
        <v>3.9334083536526803E-3</v>
      </c>
      <c r="Q34" s="2">
        <f t="shared" si="5"/>
        <v>14092.973000000002</v>
      </c>
    </row>
    <row r="35" spans="1:17">
      <c r="A35" s="45" t="s">
        <v>78</v>
      </c>
      <c r="B35" s="47" t="s">
        <v>51</v>
      </c>
      <c r="C35" s="46">
        <v>29134.496999999999</v>
      </c>
      <c r="D35" s="12"/>
      <c r="E35">
        <f t="shared" si="0"/>
        <v>-4891.9881414760421</v>
      </c>
      <c r="F35">
        <f t="shared" si="1"/>
        <v>-4892</v>
      </c>
      <c r="G35">
        <f t="shared" si="2"/>
        <v>3.0311999998957617E-2</v>
      </c>
      <c r="H35">
        <f t="shared" si="3"/>
        <v>3.0311999998957617E-2</v>
      </c>
      <c r="O35">
        <f t="shared" ca="1" si="4"/>
        <v>3.9349110674544805E-3</v>
      </c>
      <c r="Q35" s="2">
        <f t="shared" si="5"/>
        <v>14115.996999999999</v>
      </c>
    </row>
    <row r="36" spans="1:17">
      <c r="A36" s="45" t="s">
        <v>70</v>
      </c>
      <c r="B36" s="47" t="s">
        <v>51</v>
      </c>
      <c r="C36" s="46">
        <v>29193.298999999999</v>
      </c>
      <c r="D36" s="12"/>
      <c r="E36">
        <f t="shared" si="0"/>
        <v>-4868.9838881812248</v>
      </c>
      <c r="F36">
        <f t="shared" si="1"/>
        <v>-4869</v>
      </c>
      <c r="G36">
        <f t="shared" si="2"/>
        <v>4.1183999994245823E-2</v>
      </c>
      <c r="H36">
        <f t="shared" si="3"/>
        <v>4.1183999994245823E-2</v>
      </c>
      <c r="O36">
        <f t="shared" ca="1" si="4"/>
        <v>3.9387513360590798E-3</v>
      </c>
      <c r="Q36" s="2">
        <f t="shared" si="5"/>
        <v>14174.798999999999</v>
      </c>
    </row>
    <row r="37" spans="1:17">
      <c r="A37" s="45" t="s">
        <v>70</v>
      </c>
      <c r="B37" s="47" t="s">
        <v>51</v>
      </c>
      <c r="C37" s="46">
        <v>29216.244999999999</v>
      </c>
      <c r="D37" s="12"/>
      <c r="E37">
        <f t="shared" si="0"/>
        <v>-4860.0070575274567</v>
      </c>
      <c r="F37">
        <f t="shared" si="1"/>
        <v>-4860</v>
      </c>
      <c r="G37">
        <f t="shared" si="2"/>
        <v>-1.8040000006294576E-2</v>
      </c>
      <c r="H37">
        <f t="shared" si="3"/>
        <v>-1.8040000006294576E-2</v>
      </c>
      <c r="O37">
        <f t="shared" ca="1" si="4"/>
        <v>3.94025404986088E-3</v>
      </c>
      <c r="Q37" s="2">
        <f t="shared" si="5"/>
        <v>14197.744999999999</v>
      </c>
    </row>
    <row r="38" spans="1:17">
      <c r="A38" s="45" t="s">
        <v>78</v>
      </c>
      <c r="B38" s="47" t="s">
        <v>51</v>
      </c>
      <c r="C38" s="46">
        <v>32779.517</v>
      </c>
      <c r="D38" s="12"/>
      <c r="E38">
        <f t="shared" si="0"/>
        <v>-3465.9998529029767</v>
      </c>
      <c r="F38">
        <f t="shared" si="1"/>
        <v>-3466</v>
      </c>
      <c r="G38">
        <f t="shared" si="2"/>
        <v>3.7599999632220715E-4</v>
      </c>
      <c r="H38">
        <f t="shared" si="3"/>
        <v>3.7599999632220715E-4</v>
      </c>
      <c r="O38">
        <f t="shared" ca="1" si="4"/>
        <v>4.1730077209396624E-3</v>
      </c>
      <c r="Q38" s="2">
        <f t="shared" si="5"/>
        <v>17761.017</v>
      </c>
    </row>
    <row r="39" spans="1:17">
      <c r="A39" s="45" t="s">
        <v>78</v>
      </c>
      <c r="B39" s="47" t="s">
        <v>51</v>
      </c>
      <c r="C39" s="46">
        <v>32802.482000000004</v>
      </c>
      <c r="D39" s="12"/>
      <c r="E39">
        <f t="shared" si="0"/>
        <v>-3457.0155891548802</v>
      </c>
      <c r="F39">
        <f t="shared" si="1"/>
        <v>-3457</v>
      </c>
      <c r="G39">
        <f t="shared" si="2"/>
        <v>-3.9848000000347383E-2</v>
      </c>
      <c r="H39">
        <f t="shared" si="3"/>
        <v>-3.9848000000347383E-2</v>
      </c>
      <c r="O39">
        <f t="shared" ca="1" si="4"/>
        <v>4.1745104347414618E-3</v>
      </c>
      <c r="Q39" s="2">
        <f t="shared" si="5"/>
        <v>17783.982000000004</v>
      </c>
    </row>
    <row r="40" spans="1:17">
      <c r="A40" s="45" t="s">
        <v>78</v>
      </c>
      <c r="B40" s="47" t="s">
        <v>51</v>
      </c>
      <c r="C40" s="46">
        <v>33891.425000000003</v>
      </c>
      <c r="D40" s="12"/>
      <c r="E40">
        <f t="shared" si="0"/>
        <v>-3031.0042188678535</v>
      </c>
      <c r="F40">
        <f t="shared" si="1"/>
        <v>-3031</v>
      </c>
      <c r="G40">
        <f t="shared" si="2"/>
        <v>-1.0783999998238869E-2</v>
      </c>
      <c r="H40">
        <f t="shared" si="3"/>
        <v>-1.0783999998238869E-2</v>
      </c>
      <c r="O40">
        <f t="shared" ca="1" si="4"/>
        <v>4.2456388880266569E-3</v>
      </c>
      <c r="Q40" s="2">
        <f t="shared" si="5"/>
        <v>18872.925000000003</v>
      </c>
    </row>
    <row r="41" spans="1:17">
      <c r="A41" s="45" t="s">
        <v>78</v>
      </c>
      <c r="B41" s="47" t="s">
        <v>51</v>
      </c>
      <c r="C41" s="46">
        <v>34295.288</v>
      </c>
      <c r="D41" s="12"/>
      <c r="E41">
        <f t="shared" si="0"/>
        <v>-2873.0067570739593</v>
      </c>
      <c r="F41">
        <f t="shared" si="1"/>
        <v>-2873</v>
      </c>
      <c r="G41">
        <f t="shared" si="2"/>
        <v>-1.7272000004595611E-2</v>
      </c>
      <c r="H41">
        <f t="shared" si="3"/>
        <v>-1.7272000004595611E-2</v>
      </c>
      <c r="O41">
        <f t="shared" ca="1" si="4"/>
        <v>4.2720198636582545E-3</v>
      </c>
      <c r="Q41" s="2">
        <f t="shared" si="5"/>
        <v>19276.788</v>
      </c>
    </row>
    <row r="42" spans="1:17">
      <c r="A42" s="45" t="s">
        <v>70</v>
      </c>
      <c r="B42" s="47" t="s">
        <v>51</v>
      </c>
      <c r="C42" s="46">
        <v>34599.476999999999</v>
      </c>
      <c r="D42" s="12"/>
      <c r="E42">
        <f t="shared" si="0"/>
        <v>-2754.0033081181923</v>
      </c>
      <c r="F42">
        <f t="shared" si="1"/>
        <v>-2754</v>
      </c>
      <c r="G42">
        <f t="shared" si="2"/>
        <v>-8.4560000032070093E-3</v>
      </c>
      <c r="H42">
        <f t="shared" si="3"/>
        <v>-8.4560000032070093E-3</v>
      </c>
      <c r="O42">
        <f t="shared" ca="1" si="4"/>
        <v>4.291889079482053E-3</v>
      </c>
      <c r="Q42" s="2">
        <f t="shared" si="5"/>
        <v>19580.976999999999</v>
      </c>
    </row>
    <row r="43" spans="1:17">
      <c r="A43" s="45" t="s">
        <v>78</v>
      </c>
      <c r="B43" s="47" t="s">
        <v>51</v>
      </c>
      <c r="C43" s="46">
        <v>34663.404999999999</v>
      </c>
      <c r="D43" s="12"/>
      <c r="E43">
        <f t="shared" si="0"/>
        <v>-2728.9936842171169</v>
      </c>
      <c r="F43">
        <f t="shared" si="1"/>
        <v>-2729</v>
      </c>
      <c r="G43">
        <f t="shared" si="2"/>
        <v>1.6143999993801117E-2</v>
      </c>
      <c r="H43">
        <f t="shared" si="3"/>
        <v>1.6143999993801117E-2</v>
      </c>
      <c r="O43">
        <f t="shared" ca="1" si="4"/>
        <v>4.296063284487053E-3</v>
      </c>
      <c r="Q43" s="2">
        <f t="shared" si="5"/>
        <v>19644.904999999999</v>
      </c>
    </row>
    <row r="44" spans="1:17">
      <c r="A44" s="45" t="s">
        <v>78</v>
      </c>
      <c r="B44" s="47" t="s">
        <v>51</v>
      </c>
      <c r="C44" s="46">
        <v>35302.463000000003</v>
      </c>
      <c r="D44" s="12"/>
      <c r="E44">
        <f t="shared" si="0"/>
        <v>-2478.984295045334</v>
      </c>
      <c r="F44">
        <f t="shared" si="1"/>
        <v>-2479</v>
      </c>
      <c r="G44">
        <f t="shared" si="2"/>
        <v>4.014399999869056E-2</v>
      </c>
      <c r="H44">
        <f t="shared" si="3"/>
        <v>4.014399999869056E-2</v>
      </c>
      <c r="O44">
        <f t="shared" ca="1" si="4"/>
        <v>4.3378053345370492E-3</v>
      </c>
      <c r="Q44" s="2">
        <f t="shared" si="5"/>
        <v>20283.963000000003</v>
      </c>
    </row>
    <row r="45" spans="1:17">
      <c r="A45" s="45" t="s">
        <v>78</v>
      </c>
      <c r="B45" s="47" t="s">
        <v>51</v>
      </c>
      <c r="C45" s="46">
        <v>35371.411</v>
      </c>
      <c r="D45" s="12"/>
      <c r="E45">
        <f t="shared" si="0"/>
        <v>-2452.0107693800342</v>
      </c>
      <c r="F45">
        <f t="shared" si="1"/>
        <v>-2452</v>
      </c>
      <c r="G45">
        <f t="shared" si="2"/>
        <v>-2.7527999998710584E-2</v>
      </c>
      <c r="H45">
        <f t="shared" si="3"/>
        <v>-2.7527999998710584E-2</v>
      </c>
      <c r="O45">
        <f t="shared" ca="1" si="4"/>
        <v>4.3423134759424491E-3</v>
      </c>
      <c r="Q45" s="2">
        <f t="shared" si="5"/>
        <v>20352.911</v>
      </c>
    </row>
    <row r="46" spans="1:17">
      <c r="A46" s="45" t="s">
        <v>78</v>
      </c>
      <c r="B46" s="47" t="s">
        <v>51</v>
      </c>
      <c r="C46" s="46">
        <v>36764.531000000003</v>
      </c>
      <c r="D46" s="12"/>
      <c r="E46">
        <f t="shared" si="0"/>
        <v>-1907.000644723129</v>
      </c>
      <c r="F46">
        <f t="shared" si="1"/>
        <v>-1907</v>
      </c>
      <c r="G46">
        <f t="shared" si="2"/>
        <v>-1.6479999976581894E-3</v>
      </c>
      <c r="H46">
        <f t="shared" si="3"/>
        <v>-1.6479999976581894E-3</v>
      </c>
      <c r="O46">
        <f t="shared" ca="1" si="4"/>
        <v>4.4333111450514419E-3</v>
      </c>
      <c r="Q46" s="2">
        <f t="shared" si="5"/>
        <v>21746.031000000003</v>
      </c>
    </row>
    <row r="47" spans="1:17">
      <c r="A47" s="45" t="s">
        <v>70</v>
      </c>
      <c r="B47" s="47" t="s">
        <v>51</v>
      </c>
      <c r="C47" s="46">
        <v>36846.324999999997</v>
      </c>
      <c r="D47" s="12"/>
      <c r="E47">
        <f t="shared" si="0"/>
        <v>-1875.0015648619658</v>
      </c>
      <c r="F47">
        <f t="shared" si="1"/>
        <v>-1875</v>
      </c>
      <c r="G47">
        <f t="shared" si="2"/>
        <v>-4.0000000080908649E-3</v>
      </c>
      <c r="H47">
        <f t="shared" si="3"/>
        <v>-4.0000000080908649E-3</v>
      </c>
      <c r="O47">
        <f t="shared" ca="1" si="4"/>
        <v>4.4386541274578414E-3</v>
      </c>
      <c r="Q47" s="2">
        <f t="shared" si="5"/>
        <v>21827.824999999997</v>
      </c>
    </row>
    <row r="48" spans="1:17">
      <c r="A48" s="45" t="s">
        <v>70</v>
      </c>
      <c r="B48" s="47" t="s">
        <v>51</v>
      </c>
      <c r="C48" s="46">
        <v>36846.351000000002</v>
      </c>
      <c r="D48" s="12"/>
      <c r="E48">
        <f t="shared" si="0"/>
        <v>-1874.9913932592008</v>
      </c>
      <c r="F48">
        <f t="shared" si="1"/>
        <v>-1875</v>
      </c>
      <c r="G48">
        <f t="shared" si="2"/>
        <v>2.1999999997206032E-2</v>
      </c>
      <c r="H48">
        <f t="shared" si="3"/>
        <v>2.1999999997206032E-2</v>
      </c>
      <c r="O48">
        <f t="shared" ca="1" si="4"/>
        <v>4.4386541274578414E-3</v>
      </c>
      <c r="Q48" s="2">
        <f t="shared" si="5"/>
        <v>21827.851000000002</v>
      </c>
    </row>
    <row r="49" spans="1:31">
      <c r="A49" s="45" t="s">
        <v>78</v>
      </c>
      <c r="B49" s="47" t="s">
        <v>51</v>
      </c>
      <c r="C49" s="46">
        <v>36846.374000000003</v>
      </c>
      <c r="D49" s="12"/>
      <c r="E49">
        <f t="shared" si="0"/>
        <v>-1874.9823953029099</v>
      </c>
      <c r="F49">
        <f t="shared" si="1"/>
        <v>-1875</v>
      </c>
      <c r="G49">
        <f t="shared" si="2"/>
        <v>4.499999999825377E-2</v>
      </c>
      <c r="H49">
        <f t="shared" si="3"/>
        <v>4.499999999825377E-2</v>
      </c>
      <c r="O49">
        <f t="shared" ca="1" si="4"/>
        <v>4.4386541274578414E-3</v>
      </c>
      <c r="Q49" s="2">
        <f t="shared" si="5"/>
        <v>21827.874000000003</v>
      </c>
    </row>
    <row r="50" spans="1:31">
      <c r="A50" s="45" t="s">
        <v>78</v>
      </c>
      <c r="B50" s="47" t="s">
        <v>51</v>
      </c>
      <c r="C50" s="46">
        <v>36851.427000000003</v>
      </c>
      <c r="D50" s="12"/>
      <c r="E50">
        <f t="shared" si="0"/>
        <v>-1873.0055834274856</v>
      </c>
      <c r="F50">
        <f t="shared" si="1"/>
        <v>-1873</v>
      </c>
      <c r="G50">
        <f t="shared" si="2"/>
        <v>-1.4272000000346452E-2</v>
      </c>
      <c r="H50">
        <f t="shared" si="3"/>
        <v>-1.4272000000346452E-2</v>
      </c>
      <c r="O50">
        <f t="shared" ca="1" si="4"/>
        <v>4.4389880638582412E-3</v>
      </c>
      <c r="Q50" s="2">
        <f t="shared" si="5"/>
        <v>21832.927000000003</v>
      </c>
    </row>
    <row r="51" spans="1:31">
      <c r="A51" s="45" t="s">
        <v>70</v>
      </c>
      <c r="B51" s="47" t="s">
        <v>51</v>
      </c>
      <c r="C51" s="46">
        <v>37191.406000000003</v>
      </c>
      <c r="D51" s="12"/>
      <c r="E51">
        <f t="shared" si="0"/>
        <v>-1740.0005320530677</v>
      </c>
      <c r="F51">
        <f t="shared" si="1"/>
        <v>-1740</v>
      </c>
      <c r="G51">
        <f t="shared" si="2"/>
        <v>-1.3600000020232983E-3</v>
      </c>
      <c r="H51">
        <f t="shared" si="3"/>
        <v>-1.3600000020232983E-3</v>
      </c>
      <c r="O51">
        <f t="shared" ca="1" si="4"/>
        <v>4.4611948344848397E-3</v>
      </c>
      <c r="Q51" s="2">
        <f t="shared" si="5"/>
        <v>22172.906000000003</v>
      </c>
    </row>
    <row r="52" spans="1:31">
      <c r="A52" s="45" t="s">
        <v>165</v>
      </c>
      <c r="B52" s="47" t="s">
        <v>51</v>
      </c>
      <c r="C52" s="46">
        <v>41603.284</v>
      </c>
      <c r="D52" s="12"/>
      <c r="E52">
        <f t="shared" si="0"/>
        <v>-14.005514573560605</v>
      </c>
      <c r="F52">
        <f t="shared" si="1"/>
        <v>-14</v>
      </c>
      <c r="G52">
        <f t="shared" si="2"/>
        <v>-1.4096000006247777E-2</v>
      </c>
      <c r="H52">
        <f t="shared" si="3"/>
        <v>-1.4096000006247777E-2</v>
      </c>
      <c r="O52">
        <f t="shared" ca="1" si="4"/>
        <v>4.7493819480300178E-3</v>
      </c>
      <c r="Q52" s="2">
        <f t="shared" si="5"/>
        <v>26584.784</v>
      </c>
    </row>
    <row r="53" spans="1:31">
      <c r="A53" s="45" t="s">
        <v>165</v>
      </c>
      <c r="B53" s="47" t="s">
        <v>51</v>
      </c>
      <c r="C53" s="46">
        <v>41616.106</v>
      </c>
      <c r="D53" s="12"/>
      <c r="E53">
        <f t="shared" ref="E53:E81" si="6">+(C53-C$7)/C$8</f>
        <v>-8.9893495494773337</v>
      </c>
      <c r="F53">
        <f t="shared" ref="F53:F85" si="7">ROUND(2*E53,0)/2</f>
        <v>-9</v>
      </c>
      <c r="G53">
        <f t="shared" si="2"/>
        <v>2.7223999997659121E-2</v>
      </c>
      <c r="H53">
        <f t="shared" si="3"/>
        <v>2.7223999997659121E-2</v>
      </c>
      <c r="O53">
        <f t="shared" ref="O53:O81" ca="1" si="8">+C$11+C$12*F53</f>
        <v>4.7502167890310174E-3</v>
      </c>
      <c r="Q53" s="2">
        <f t="shared" ref="Q53:Q81" si="9">+C53-15018.5</f>
        <v>26597.606</v>
      </c>
    </row>
    <row r="54" spans="1:31">
      <c r="A54" s="45" t="s">
        <v>165</v>
      </c>
      <c r="B54" s="47" t="s">
        <v>51</v>
      </c>
      <c r="C54" s="46">
        <v>41621.197999999997</v>
      </c>
      <c r="D54" s="12"/>
      <c r="E54">
        <f t="shared" si="6"/>
        <v>-6.9972802699096919</v>
      </c>
      <c r="F54">
        <f t="shared" si="7"/>
        <v>-7</v>
      </c>
      <c r="G54">
        <f t="shared" si="2"/>
        <v>6.9519999960903078E-3</v>
      </c>
      <c r="H54">
        <f t="shared" si="3"/>
        <v>6.9519999960903078E-3</v>
      </c>
      <c r="O54">
        <f t="shared" ca="1" si="8"/>
        <v>4.7505507254314181E-3</v>
      </c>
      <c r="Q54" s="2">
        <f t="shared" si="9"/>
        <v>26602.697999999997</v>
      </c>
    </row>
    <row r="55" spans="1:31">
      <c r="A55" s="45" t="s">
        <v>165</v>
      </c>
      <c r="B55" s="47" t="s">
        <v>35</v>
      </c>
      <c r="C55" s="46">
        <v>41630.144999999997</v>
      </c>
      <c r="D55" s="12"/>
      <c r="E55">
        <f t="shared" si="6"/>
        <v>-3.4970752729924239</v>
      </c>
      <c r="F55">
        <f t="shared" si="7"/>
        <v>-3.5</v>
      </c>
      <c r="G55">
        <f t="shared" si="2"/>
        <v>7.4759999915841036E-3</v>
      </c>
      <c r="H55">
        <f t="shared" si="3"/>
        <v>7.4759999915841036E-3</v>
      </c>
      <c r="O55">
        <f t="shared" ca="1" si="8"/>
        <v>4.7511351141321179E-3</v>
      </c>
      <c r="Q55" s="2">
        <f t="shared" si="9"/>
        <v>26611.644999999997</v>
      </c>
    </row>
    <row r="56" spans="1:31">
      <c r="A56" t="s">
        <v>12</v>
      </c>
      <c r="C56" s="13">
        <v>41639.084000000003</v>
      </c>
      <c r="D56" s="13" t="s">
        <v>14</v>
      </c>
      <c r="E56">
        <f t="shared" si="6"/>
        <v>0</v>
      </c>
      <c r="F56">
        <f t="shared" si="7"/>
        <v>0</v>
      </c>
      <c r="G56">
        <f t="shared" si="2"/>
        <v>0</v>
      </c>
      <c r="H56">
        <f>+G56</f>
        <v>0</v>
      </c>
      <c r="O56">
        <f t="shared" ca="1" si="8"/>
        <v>4.7517195028328177E-3</v>
      </c>
      <c r="Q56" s="2">
        <f t="shared" si="9"/>
        <v>26620.584000000003</v>
      </c>
    </row>
    <row r="57" spans="1:31">
      <c r="A57" s="45" t="s">
        <v>165</v>
      </c>
      <c r="B57" s="47" t="s">
        <v>35</v>
      </c>
      <c r="C57" s="46">
        <v>41653.142999999996</v>
      </c>
      <c r="D57" s="12"/>
      <c r="E57">
        <f t="shared" si="6"/>
        <v>5.5000985863012888</v>
      </c>
      <c r="F57">
        <f t="shared" si="7"/>
        <v>5.5</v>
      </c>
      <c r="G57">
        <f t="shared" si="2"/>
        <v>2.519999907235615E-4</v>
      </c>
      <c r="I57">
        <f>G57</f>
        <v>2.519999907235615E-4</v>
      </c>
      <c r="O57">
        <f t="shared" ca="1" si="8"/>
        <v>4.7526378279339173E-3</v>
      </c>
      <c r="Q57" s="2">
        <f t="shared" si="9"/>
        <v>26634.642999999996</v>
      </c>
    </row>
    <row r="58" spans="1:31">
      <c r="A58" t="s">
        <v>29</v>
      </c>
      <c r="C58" s="13">
        <v>44885.375</v>
      </c>
      <c r="D58" s="13"/>
      <c r="E58">
        <f t="shared" si="6"/>
        <v>1269.9993271093547</v>
      </c>
      <c r="F58">
        <f t="shared" si="7"/>
        <v>1270</v>
      </c>
      <c r="G58">
        <f t="shared" si="2"/>
        <v>-1.720000000204891E-3</v>
      </c>
      <c r="I58">
        <f>G58</f>
        <v>-1.720000000204891E-3</v>
      </c>
      <c r="O58">
        <f t="shared" ca="1" si="8"/>
        <v>4.963769117086801E-3</v>
      </c>
      <c r="Q58" s="2">
        <f t="shared" si="9"/>
        <v>29866.875</v>
      </c>
      <c r="AA58">
        <v>20</v>
      </c>
      <c r="AC58" t="s">
        <v>28</v>
      </c>
      <c r="AE58" t="s">
        <v>30</v>
      </c>
    </row>
    <row r="59" spans="1:31">
      <c r="A59" s="45" t="s">
        <v>181</v>
      </c>
      <c r="B59" s="47" t="s">
        <v>51</v>
      </c>
      <c r="C59" s="46">
        <v>44885.379000000001</v>
      </c>
      <c r="D59" s="12"/>
      <c r="E59">
        <f t="shared" si="6"/>
        <v>1270.0008919713187</v>
      </c>
      <c r="F59">
        <f t="shared" si="7"/>
        <v>1270</v>
      </c>
      <c r="G59">
        <f t="shared" si="2"/>
        <v>2.2800000006100163E-3</v>
      </c>
      <c r="I59">
        <f>G59</f>
        <v>2.2800000006100163E-3</v>
      </c>
      <c r="O59">
        <f t="shared" ca="1" si="8"/>
        <v>4.963769117086801E-3</v>
      </c>
      <c r="Q59" s="2">
        <f t="shared" si="9"/>
        <v>29866.879000000001</v>
      </c>
    </row>
    <row r="60" spans="1:31">
      <c r="A60" t="s">
        <v>29</v>
      </c>
      <c r="B60" t="s">
        <v>35</v>
      </c>
      <c r="C60" s="13">
        <v>44917.315999999999</v>
      </c>
      <c r="D60" s="13"/>
      <c r="E60">
        <f t="shared" si="6"/>
        <v>1282.4951411036018</v>
      </c>
      <c r="F60">
        <f t="shared" si="7"/>
        <v>1282.5</v>
      </c>
      <c r="I60" s="29">
        <v>-1.2420000006386545E-2</v>
      </c>
      <c r="O60">
        <f t="shared" ca="1" si="8"/>
        <v>4.965856219589301E-3</v>
      </c>
      <c r="Q60" s="2">
        <f t="shared" si="9"/>
        <v>29898.815999999999</v>
      </c>
      <c r="AA60">
        <v>14</v>
      </c>
      <c r="AC60" t="s">
        <v>28</v>
      </c>
      <c r="AE60" t="s">
        <v>30</v>
      </c>
    </row>
    <row r="61" spans="1:31">
      <c r="A61" s="45" t="s">
        <v>189</v>
      </c>
      <c r="B61" s="47" t="s">
        <v>51</v>
      </c>
      <c r="C61" s="46">
        <v>45933.398999999998</v>
      </c>
      <c r="D61" s="12"/>
      <c r="E61">
        <f t="shared" si="6"/>
        <v>1680.0025507249986</v>
      </c>
      <c r="F61">
        <f t="shared" si="7"/>
        <v>1680</v>
      </c>
      <c r="G61">
        <f t="shared" ref="G61:G81" si="10">+C61-(C$7+F61*C$8)</f>
        <v>6.5199999953620136E-3</v>
      </c>
      <c r="I61">
        <f>G61</f>
        <v>6.5199999953620136E-3</v>
      </c>
      <c r="O61">
        <f t="shared" ca="1" si="8"/>
        <v>5.0322260791687964E-3</v>
      </c>
      <c r="Q61" s="2">
        <f t="shared" si="9"/>
        <v>30914.898999999998</v>
      </c>
    </row>
    <row r="62" spans="1:31">
      <c r="A62" s="45" t="s">
        <v>194</v>
      </c>
      <c r="B62" s="47" t="s">
        <v>51</v>
      </c>
      <c r="C62" s="46">
        <v>47114.336000000003</v>
      </c>
      <c r="D62" s="12"/>
      <c r="E62">
        <f t="shared" si="6"/>
        <v>2142.0033988801852</v>
      </c>
      <c r="F62">
        <f t="shared" si="7"/>
        <v>2142</v>
      </c>
      <c r="G62">
        <f t="shared" si="10"/>
        <v>8.6880000017117709E-3</v>
      </c>
      <c r="I62">
        <f>G62</f>
        <v>8.6880000017117709E-3</v>
      </c>
      <c r="O62">
        <f t="shared" ca="1" si="8"/>
        <v>5.1093653876611899E-3</v>
      </c>
      <c r="Q62" s="2">
        <f t="shared" si="9"/>
        <v>32095.836000000003</v>
      </c>
    </row>
    <row r="63" spans="1:31">
      <c r="A63" s="45" t="s">
        <v>200</v>
      </c>
      <c r="B63" s="47" t="s">
        <v>51</v>
      </c>
      <c r="C63" s="46">
        <v>47863.281499999997</v>
      </c>
      <c r="D63" s="12"/>
      <c r="E63">
        <f t="shared" si="6"/>
        <v>2435.0024803062101</v>
      </c>
      <c r="F63">
        <f t="shared" si="7"/>
        <v>2435</v>
      </c>
      <c r="G63">
        <f t="shared" si="10"/>
        <v>6.3399999926332384E-3</v>
      </c>
      <c r="K63">
        <f>G63</f>
        <v>6.3399999926332384E-3</v>
      </c>
      <c r="O63">
        <f t="shared" ca="1" si="8"/>
        <v>5.1582870703197866E-3</v>
      </c>
      <c r="Q63" s="2">
        <f t="shared" si="9"/>
        <v>32844.781499999997</v>
      </c>
    </row>
    <row r="64" spans="1:31">
      <c r="A64" t="s">
        <v>32</v>
      </c>
      <c r="C64" s="13">
        <v>48507.426800000001</v>
      </c>
      <c r="D64" s="13">
        <v>1E-3</v>
      </c>
      <c r="E64">
        <f t="shared" si="6"/>
        <v>2687.0021000447546</v>
      </c>
      <c r="F64">
        <f t="shared" si="7"/>
        <v>2687</v>
      </c>
      <c r="G64">
        <f t="shared" si="10"/>
        <v>5.367999998270534E-3</v>
      </c>
      <c r="K64">
        <f>G64</f>
        <v>5.367999998270534E-3</v>
      </c>
      <c r="O64">
        <f t="shared" ca="1" si="8"/>
        <v>5.2003630567701836E-3</v>
      </c>
      <c r="Q64" s="2">
        <f t="shared" si="9"/>
        <v>33488.926800000001</v>
      </c>
      <c r="AA64">
        <v>36</v>
      </c>
      <c r="AC64" t="s">
        <v>31</v>
      </c>
      <c r="AE64" t="s">
        <v>30</v>
      </c>
    </row>
    <row r="65" spans="1:31">
      <c r="A65" s="45" t="s">
        <v>209</v>
      </c>
      <c r="B65" s="47" t="s">
        <v>51</v>
      </c>
      <c r="C65" s="46">
        <v>48571.324000000001</v>
      </c>
      <c r="D65" s="12"/>
      <c r="E65">
        <f t="shared" si="6"/>
        <v>2711.999674508711</v>
      </c>
      <c r="F65">
        <f t="shared" si="7"/>
        <v>2712</v>
      </c>
      <c r="G65">
        <f t="shared" si="10"/>
        <v>-8.3199999789940193E-4</v>
      </c>
      <c r="I65">
        <f>G65</f>
        <v>-8.3199999789940193E-4</v>
      </c>
      <c r="O65">
        <f t="shared" ca="1" si="8"/>
        <v>5.2045372617751827E-3</v>
      </c>
      <c r="Q65" s="2">
        <f t="shared" si="9"/>
        <v>33552.824000000001</v>
      </c>
    </row>
    <row r="66" spans="1:31">
      <c r="A66" s="45" t="s">
        <v>213</v>
      </c>
      <c r="B66" s="47" t="s">
        <v>51</v>
      </c>
      <c r="C66" s="46">
        <v>48893.406999999999</v>
      </c>
      <c r="D66" s="12"/>
      <c r="E66">
        <f t="shared" si="6"/>
        <v>2838.0035334583122</v>
      </c>
      <c r="F66">
        <f t="shared" si="7"/>
        <v>2838</v>
      </c>
      <c r="G66">
        <f t="shared" si="10"/>
        <v>9.0319999944767915E-3</v>
      </c>
      <c r="I66">
        <f>G66</f>
        <v>9.0319999944767915E-3</v>
      </c>
      <c r="O66">
        <f t="shared" ca="1" si="8"/>
        <v>5.2255752550003816E-3</v>
      </c>
      <c r="Q66" s="2">
        <f t="shared" si="9"/>
        <v>33874.906999999999</v>
      </c>
    </row>
    <row r="67" spans="1:31">
      <c r="A67" t="s">
        <v>34</v>
      </c>
      <c r="C67" s="13">
        <v>48934.296999999999</v>
      </c>
      <c r="D67" s="13">
        <v>1.6000000000000001E-3</v>
      </c>
      <c r="E67">
        <f t="shared" si="6"/>
        <v>2854.0003348804589</v>
      </c>
      <c r="F67">
        <f t="shared" si="7"/>
        <v>2854</v>
      </c>
      <c r="G67">
        <f t="shared" si="10"/>
        <v>8.5599999874830246E-4</v>
      </c>
      <c r="I67">
        <f>G67</f>
        <v>8.5599999874830246E-4</v>
      </c>
      <c r="O67">
        <f t="shared" ca="1" si="8"/>
        <v>5.2282467462035813E-3</v>
      </c>
      <c r="Q67" s="2">
        <f t="shared" si="9"/>
        <v>33915.796999999999</v>
      </c>
      <c r="AA67">
        <v>26</v>
      </c>
      <c r="AC67" t="s">
        <v>33</v>
      </c>
      <c r="AE67" t="s">
        <v>30</v>
      </c>
    </row>
    <row r="68" spans="1:31">
      <c r="A68" s="45" t="s">
        <v>218</v>
      </c>
      <c r="B68" s="47" t="s">
        <v>51</v>
      </c>
      <c r="C68" s="46">
        <v>48934.297299999998</v>
      </c>
      <c r="D68" s="12"/>
      <c r="E68">
        <f t="shared" si="6"/>
        <v>2854.0004522451059</v>
      </c>
      <c r="F68">
        <f t="shared" si="7"/>
        <v>2854</v>
      </c>
      <c r="G68">
        <f t="shared" si="10"/>
        <v>1.1559999984456226E-3</v>
      </c>
      <c r="K68">
        <f t="shared" ref="K68:K85" si="11">G68</f>
        <v>1.1559999984456226E-3</v>
      </c>
      <c r="O68">
        <f t="shared" ca="1" si="8"/>
        <v>5.2282467462035813E-3</v>
      </c>
      <c r="Q68" s="2">
        <f t="shared" si="9"/>
        <v>33915.797299999998</v>
      </c>
    </row>
    <row r="69" spans="1:31" s="53" customFormat="1" ht="12" customHeight="1">
      <c r="A69" s="9" t="s">
        <v>37</v>
      </c>
      <c r="B69" s="10"/>
      <c r="C69" s="13">
        <v>50005.322399999997</v>
      </c>
      <c r="D69" s="13"/>
      <c r="E69" s="53">
        <f t="shared" si="6"/>
        <v>3273.0020624880658</v>
      </c>
      <c r="F69" s="53">
        <f t="shared" si="7"/>
        <v>3273</v>
      </c>
      <c r="G69" s="53">
        <f t="shared" si="10"/>
        <v>5.2719999948749319E-3</v>
      </c>
      <c r="J69" s="53">
        <f>G69</f>
        <v>5.2719999948749319E-3</v>
      </c>
      <c r="O69" s="53">
        <f t="shared" ca="1" si="8"/>
        <v>5.2982064220873752E-3</v>
      </c>
      <c r="Q69" s="54">
        <f t="shared" si="9"/>
        <v>34986.822399999997</v>
      </c>
    </row>
    <row r="70" spans="1:31" s="53" customFormat="1" ht="12" customHeight="1">
      <c r="A70" s="53" t="s">
        <v>36</v>
      </c>
      <c r="C70" s="13">
        <v>51140.246099999997</v>
      </c>
      <c r="D70" s="13">
        <v>4.0000000000000002E-4</v>
      </c>
      <c r="E70" s="53">
        <f t="shared" si="6"/>
        <v>3717.0017948966697</v>
      </c>
      <c r="F70" s="53">
        <f t="shared" si="7"/>
        <v>3717</v>
      </c>
      <c r="G70" s="53">
        <f t="shared" si="10"/>
        <v>4.5879999961471185E-3</v>
      </c>
      <c r="J70" s="53">
        <f>G70</f>
        <v>4.5879999961471185E-3</v>
      </c>
      <c r="O70" s="53">
        <f t="shared" ca="1" si="8"/>
        <v>5.3723403029761699E-3</v>
      </c>
      <c r="Q70" s="54">
        <f t="shared" si="9"/>
        <v>36121.746099999997</v>
      </c>
    </row>
    <row r="71" spans="1:31" s="53" customFormat="1" ht="12" customHeight="1">
      <c r="A71" s="45" t="s">
        <v>235</v>
      </c>
      <c r="B71" s="47" t="s">
        <v>51</v>
      </c>
      <c r="C71" s="46">
        <v>52587.020299999996</v>
      </c>
      <c r="D71" s="13"/>
      <c r="E71" s="53">
        <f t="shared" si="6"/>
        <v>4283.0022737444306</v>
      </c>
      <c r="F71" s="53">
        <f t="shared" si="7"/>
        <v>4283</v>
      </c>
      <c r="G71" s="53">
        <f t="shared" si="10"/>
        <v>5.8119999957852997E-3</v>
      </c>
      <c r="K71" s="53">
        <f t="shared" si="11"/>
        <v>5.8119999957852997E-3</v>
      </c>
      <c r="O71" s="53">
        <f t="shared" ca="1" si="8"/>
        <v>5.466844304289363E-3</v>
      </c>
      <c r="Q71" s="54">
        <f t="shared" si="9"/>
        <v>37568.520299999996</v>
      </c>
    </row>
    <row r="72" spans="1:31" s="53" customFormat="1" ht="12" customHeight="1">
      <c r="A72" s="45" t="s">
        <v>241</v>
      </c>
      <c r="B72" s="47" t="s">
        <v>51</v>
      </c>
      <c r="C72" s="46">
        <v>54381.4274</v>
      </c>
      <c r="D72" s="13"/>
      <c r="E72" s="53">
        <f t="shared" si="6"/>
        <v>4985.0021282122698</v>
      </c>
      <c r="F72" s="53">
        <f t="shared" si="7"/>
        <v>4985</v>
      </c>
      <c r="G72" s="53">
        <f t="shared" si="10"/>
        <v>5.4400000008172356E-3</v>
      </c>
      <c r="K72" s="53">
        <f t="shared" si="11"/>
        <v>5.4400000008172356E-3</v>
      </c>
      <c r="O72" s="53">
        <f t="shared" ca="1" si="8"/>
        <v>5.5840559808297534E-3</v>
      </c>
      <c r="Q72" s="54">
        <f t="shared" si="9"/>
        <v>39362.9274</v>
      </c>
    </row>
    <row r="73" spans="1:31" s="53" customFormat="1" ht="12" customHeight="1">
      <c r="A73" s="45" t="s">
        <v>247</v>
      </c>
      <c r="B73" s="47" t="s">
        <v>51</v>
      </c>
      <c r="C73" s="46">
        <v>55084.3655</v>
      </c>
      <c r="D73" s="13"/>
      <c r="E73" s="53">
        <f t="shared" si="6"/>
        <v>5260.0024020631126</v>
      </c>
      <c r="F73" s="53">
        <f t="shared" si="7"/>
        <v>5260</v>
      </c>
      <c r="G73" s="53">
        <f t="shared" si="10"/>
        <v>6.1399999976856634E-3</v>
      </c>
      <c r="K73" s="53">
        <f t="shared" si="11"/>
        <v>6.1399999976856634E-3</v>
      </c>
      <c r="O73" s="53">
        <f t="shared" ca="1" si="8"/>
        <v>5.6299722358847505E-3</v>
      </c>
      <c r="Q73" s="54">
        <f t="shared" si="9"/>
        <v>40065.8655</v>
      </c>
    </row>
    <row r="74" spans="1:31" s="53" customFormat="1" ht="12" customHeight="1">
      <c r="A74" s="55" t="s">
        <v>49</v>
      </c>
      <c r="B74" s="56" t="s">
        <v>35</v>
      </c>
      <c r="C74" s="57">
        <v>55476.733999999997</v>
      </c>
      <c r="D74" s="57">
        <v>3.0000000000000001E-3</v>
      </c>
      <c r="E74" s="53">
        <f t="shared" si="6"/>
        <v>5413.5030373970694</v>
      </c>
      <c r="F74" s="53">
        <f t="shared" si="7"/>
        <v>5413.5</v>
      </c>
      <c r="G74" s="53">
        <f t="shared" si="10"/>
        <v>7.7639999944949523E-3</v>
      </c>
      <c r="I74" s="53">
        <f>G74</f>
        <v>7.7639999944949523E-3</v>
      </c>
      <c r="O74" s="53">
        <f t="shared" ca="1" si="8"/>
        <v>5.6556018546154484E-3</v>
      </c>
      <c r="Q74" s="54">
        <f t="shared" si="9"/>
        <v>40458.233999999997</v>
      </c>
    </row>
    <row r="75" spans="1:31" s="53" customFormat="1" ht="12" customHeight="1">
      <c r="A75" s="45" t="s">
        <v>258</v>
      </c>
      <c r="B75" s="47" t="s">
        <v>51</v>
      </c>
      <c r="C75" s="46">
        <v>55874.212599999999</v>
      </c>
      <c r="D75" s="13"/>
      <c r="E75" s="53">
        <f t="shared" si="6"/>
        <v>5569.002823010981</v>
      </c>
      <c r="F75" s="53">
        <f t="shared" si="7"/>
        <v>5569</v>
      </c>
      <c r="G75" s="53">
        <f t="shared" si="10"/>
        <v>7.215999998152256E-3</v>
      </c>
      <c r="K75" s="53">
        <f t="shared" si="11"/>
        <v>7.215999998152256E-3</v>
      </c>
      <c r="O75" s="53">
        <f t="shared" ca="1" si="8"/>
        <v>5.6815654097465461E-3</v>
      </c>
      <c r="Q75" s="54">
        <f t="shared" si="9"/>
        <v>40855.712599999999</v>
      </c>
    </row>
    <row r="76" spans="1:31" s="53" customFormat="1" ht="12" customHeight="1">
      <c r="A76" s="45" t="s">
        <v>258</v>
      </c>
      <c r="B76" s="47" t="s">
        <v>51</v>
      </c>
      <c r="C76" s="46">
        <v>55879.315300000002</v>
      </c>
      <c r="D76" s="13"/>
      <c r="E76" s="53">
        <f t="shared" si="6"/>
        <v>5570.9990782963032</v>
      </c>
      <c r="F76" s="53">
        <f t="shared" si="7"/>
        <v>5571</v>
      </c>
      <c r="G76" s="53">
        <f t="shared" si="10"/>
        <v>-2.3559999972349033E-3</v>
      </c>
      <c r="K76" s="53">
        <f t="shared" si="11"/>
        <v>-2.3559999972349033E-3</v>
      </c>
      <c r="O76" s="53">
        <f t="shared" ca="1" si="8"/>
        <v>5.681899346146946E-3</v>
      </c>
      <c r="Q76" s="54">
        <f t="shared" si="9"/>
        <v>40860.815300000002</v>
      </c>
    </row>
    <row r="77" spans="1:31" s="53" customFormat="1" ht="12" customHeight="1">
      <c r="A77" s="55" t="s">
        <v>50</v>
      </c>
      <c r="B77" s="56" t="s">
        <v>51</v>
      </c>
      <c r="C77" s="57">
        <v>56155.386409999999</v>
      </c>
      <c r="D77" s="57">
        <v>1E-4</v>
      </c>
      <c r="E77" s="53">
        <f t="shared" si="6"/>
        <v>5679.0023731131669</v>
      </c>
      <c r="F77" s="53">
        <f t="shared" si="7"/>
        <v>5679</v>
      </c>
      <c r="G77" s="53">
        <f t="shared" si="10"/>
        <v>6.0659999944618903E-3</v>
      </c>
      <c r="K77" s="53">
        <f t="shared" si="11"/>
        <v>6.0659999944618903E-3</v>
      </c>
      <c r="O77" s="53">
        <f t="shared" ca="1" si="8"/>
        <v>5.6999319117685444E-3</v>
      </c>
      <c r="Q77" s="54">
        <f t="shared" si="9"/>
        <v>41136.886409999999</v>
      </c>
    </row>
    <row r="78" spans="1:31" s="53" customFormat="1" ht="12" customHeight="1">
      <c r="A78" s="55" t="s">
        <v>50</v>
      </c>
      <c r="B78" s="56" t="s">
        <v>51</v>
      </c>
      <c r="C78" s="57">
        <v>56155.388019999999</v>
      </c>
      <c r="D78" s="57">
        <v>2E-3</v>
      </c>
      <c r="E78" s="53">
        <f t="shared" si="6"/>
        <v>5679.0030029701065</v>
      </c>
      <c r="F78" s="53">
        <f t="shared" si="7"/>
        <v>5679</v>
      </c>
      <c r="G78" s="53">
        <f t="shared" si="10"/>
        <v>7.6759999938076362E-3</v>
      </c>
      <c r="K78" s="53">
        <f t="shared" si="11"/>
        <v>7.6759999938076362E-3</v>
      </c>
      <c r="O78" s="53">
        <f t="shared" ca="1" si="8"/>
        <v>5.6999319117685444E-3</v>
      </c>
      <c r="Q78" s="54">
        <f t="shared" si="9"/>
        <v>41136.888019999999</v>
      </c>
    </row>
    <row r="79" spans="1:31" s="53" customFormat="1" ht="12" customHeight="1">
      <c r="A79" s="55" t="s">
        <v>50</v>
      </c>
      <c r="B79" s="56" t="s">
        <v>51</v>
      </c>
      <c r="C79" s="57">
        <v>56219.289389999998</v>
      </c>
      <c r="D79" s="57">
        <v>2.0000000000000001E-4</v>
      </c>
      <c r="E79" s="53">
        <f t="shared" si="6"/>
        <v>5704.0022088026599</v>
      </c>
      <c r="F79" s="53">
        <f t="shared" si="7"/>
        <v>5704</v>
      </c>
      <c r="G79" s="53">
        <f t="shared" si="10"/>
        <v>5.6459999977960251E-3</v>
      </c>
      <c r="K79" s="53">
        <f t="shared" si="11"/>
        <v>5.6459999977960251E-3</v>
      </c>
      <c r="O79" s="53">
        <f t="shared" ca="1" si="8"/>
        <v>5.7041061167735444E-3</v>
      </c>
      <c r="Q79" s="54">
        <f t="shared" si="9"/>
        <v>41200.789389999998</v>
      </c>
    </row>
    <row r="80" spans="1:31" s="53" customFormat="1" ht="12" customHeight="1">
      <c r="A80" s="57" t="s">
        <v>53</v>
      </c>
      <c r="B80" s="56" t="s">
        <v>51</v>
      </c>
      <c r="C80" s="58">
        <v>56845.543449999997</v>
      </c>
      <c r="D80" s="57">
        <v>2.9999999999999997E-4</v>
      </c>
      <c r="E80" s="53">
        <f t="shared" si="6"/>
        <v>5949.0024983021231</v>
      </c>
      <c r="F80" s="53">
        <f t="shared" si="7"/>
        <v>5949</v>
      </c>
      <c r="G80" s="53">
        <f t="shared" si="10"/>
        <v>6.385999993653968E-3</v>
      </c>
      <c r="K80" s="53">
        <f t="shared" si="11"/>
        <v>6.385999993653968E-3</v>
      </c>
      <c r="O80" s="53">
        <f t="shared" ca="1" si="8"/>
        <v>5.745013325822541E-3</v>
      </c>
      <c r="Q80" s="54">
        <f t="shared" si="9"/>
        <v>41827.043449999997</v>
      </c>
    </row>
    <row r="81" spans="1:17" s="53" customFormat="1" ht="12" customHeight="1">
      <c r="A81" s="59" t="s">
        <v>52</v>
      </c>
      <c r="B81" s="60" t="str">
        <f>IF(J81="s","II","I")</f>
        <v>I</v>
      </c>
      <c r="C81" s="59">
        <v>56891.553099999997</v>
      </c>
      <c r="D81" s="59">
        <v>1.2999999999999999E-3</v>
      </c>
      <c r="E81" s="53">
        <f t="shared" si="6"/>
        <v>5967.0021861121613</v>
      </c>
      <c r="F81" s="53">
        <f t="shared" si="7"/>
        <v>5967</v>
      </c>
      <c r="G81" s="53">
        <f t="shared" si="10"/>
        <v>5.5879999927128665E-3</v>
      </c>
      <c r="J81" s="53">
        <f>G81</f>
        <v>5.5879999927128665E-3</v>
      </c>
      <c r="O81" s="53">
        <f t="shared" ca="1" si="8"/>
        <v>5.7480187534261415E-3</v>
      </c>
      <c r="Q81" s="54">
        <f t="shared" si="9"/>
        <v>41873.053099999997</v>
      </c>
    </row>
    <row r="82" spans="1:17" s="53" customFormat="1" ht="12" customHeight="1">
      <c r="A82" s="48" t="s">
        <v>284</v>
      </c>
      <c r="B82" s="49" t="s">
        <v>51</v>
      </c>
      <c r="C82" s="50">
        <v>56950.34693</v>
      </c>
      <c r="D82" s="50">
        <v>2.0000000000000001E-4</v>
      </c>
      <c r="E82" s="53">
        <f>+(C82-C$7)/C$8</f>
        <v>5990.0032431764184</v>
      </c>
      <c r="F82" s="53">
        <f t="shared" si="7"/>
        <v>5990</v>
      </c>
      <c r="G82" s="53">
        <f>+C82-(C$7+F82*C$8)</f>
        <v>8.2899999979417771E-3</v>
      </c>
      <c r="K82" s="53">
        <f t="shared" si="11"/>
        <v>8.2899999979417771E-3</v>
      </c>
      <c r="O82" s="53">
        <f ca="1">+C$11+C$12*F82</f>
        <v>5.7518590220307407E-3</v>
      </c>
      <c r="Q82" s="54">
        <f>+C82-15018.5</f>
        <v>41931.84693</v>
      </c>
    </row>
    <row r="83" spans="1:17" s="53" customFormat="1" ht="12" customHeight="1">
      <c r="A83" s="48" t="s">
        <v>284</v>
      </c>
      <c r="B83" s="49" t="s">
        <v>51</v>
      </c>
      <c r="C83" s="50">
        <v>57249.413789999999</v>
      </c>
      <c r="D83" s="50">
        <v>2.0000000000000001E-4</v>
      </c>
      <c r="E83" s="53">
        <f>+(C83-C$7)/C$8</f>
        <v>6107.0028316177213</v>
      </c>
      <c r="F83" s="53">
        <f t="shared" si="7"/>
        <v>6107</v>
      </c>
      <c r="G83" s="53">
        <f>+C83-(C$7+F83*C$8)</f>
        <v>7.237999998324085E-3</v>
      </c>
      <c r="K83" s="53">
        <f t="shared" si="11"/>
        <v>7.237999998324085E-3</v>
      </c>
      <c r="O83" s="53">
        <f ca="1">+C$11+C$12*F83</f>
        <v>5.7713943014541394E-3</v>
      </c>
      <c r="Q83" s="54">
        <f>+C83-15018.5</f>
        <v>42230.913789999999</v>
      </c>
    </row>
    <row r="84" spans="1:17" s="53" customFormat="1" ht="12" customHeight="1">
      <c r="A84" s="48" t="s">
        <v>284</v>
      </c>
      <c r="B84" s="49" t="s">
        <v>51</v>
      </c>
      <c r="C84" s="50">
        <v>57272.420259999999</v>
      </c>
      <c r="D84" s="50">
        <v>1E-3</v>
      </c>
      <c r="E84" s="53">
        <f>+(C84-C$7)/C$8</f>
        <v>6116.0033190722233</v>
      </c>
      <c r="F84" s="53">
        <f t="shared" si="7"/>
        <v>6116</v>
      </c>
      <c r="G84" s="53">
        <f>+C84-(C$7+F84*C$8)</f>
        <v>8.4839999981340952E-3</v>
      </c>
      <c r="K84" s="53">
        <f t="shared" si="11"/>
        <v>8.4839999981340952E-3</v>
      </c>
      <c r="O84" s="53">
        <f ca="1">+C$11+C$12*F84</f>
        <v>5.7728970152559397E-3</v>
      </c>
      <c r="Q84" s="54">
        <f>+C84-15018.5</f>
        <v>42253.920259999999</v>
      </c>
    </row>
    <row r="85" spans="1:17" s="53" customFormat="1" ht="12" customHeight="1">
      <c r="A85" s="48" t="s">
        <v>284</v>
      </c>
      <c r="B85" s="49" t="s">
        <v>35</v>
      </c>
      <c r="C85" s="50">
        <v>57626.44973</v>
      </c>
      <c r="D85" s="50">
        <v>8.0000000000000004E-4</v>
      </c>
      <c r="E85" s="53">
        <f>+(C85-C$7)/C$8</f>
        <v>6254.5051319648082</v>
      </c>
      <c r="F85" s="53">
        <f t="shared" si="7"/>
        <v>6254.5</v>
      </c>
      <c r="G85" s="53">
        <f>+C85-(C$7+F85*C$8)</f>
        <v>1.3117999995301943E-2</v>
      </c>
      <c r="K85" s="53">
        <f t="shared" si="11"/>
        <v>1.3117999995301943E-2</v>
      </c>
      <c r="O85" s="53">
        <f ca="1">+C$11+C$12*F85</f>
        <v>5.7960221109836377E-3</v>
      </c>
      <c r="Q85" s="54">
        <f>+C85-15018.5</f>
        <v>42607.94973</v>
      </c>
    </row>
    <row r="86" spans="1:17" s="53" customFormat="1" ht="12" customHeight="1">
      <c r="A86" s="51" t="s">
        <v>285</v>
      </c>
      <c r="B86" s="52" t="s">
        <v>51</v>
      </c>
      <c r="C86" s="61">
        <v>59171.629300000001</v>
      </c>
      <c r="D86" s="62">
        <v>1.1999999999999999E-3</v>
      </c>
      <c r="E86" s="53">
        <f>+(C86-C$7)/C$8</f>
        <v>6859.0033159425002</v>
      </c>
      <c r="F86" s="53">
        <f t="shared" ref="F86" si="12">ROUND(2*E86,0)/2</f>
        <v>6859</v>
      </c>
      <c r="G86" s="53">
        <f>+C86-(C$7+F86*C$8)</f>
        <v>8.4760000027017668E-3</v>
      </c>
      <c r="K86" s="53">
        <f t="shared" ref="K86" si="13">G86</f>
        <v>8.4760000027017668E-3</v>
      </c>
      <c r="O86" s="53">
        <f ca="1">+C$11+C$12*F86</f>
        <v>5.8969543880045298E-3</v>
      </c>
      <c r="Q86" s="54">
        <f>+C86-15018.5</f>
        <v>44153.129300000001</v>
      </c>
    </row>
    <row r="87" spans="1:17" s="53" customFormat="1" ht="12" customHeight="1">
      <c r="B87" s="63"/>
      <c r="C87" s="13"/>
      <c r="D87" s="13"/>
    </row>
    <row r="88" spans="1:17" s="53" customFormat="1" ht="12" customHeight="1">
      <c r="B88" s="63"/>
      <c r="C88" s="13"/>
      <c r="D88" s="13"/>
    </row>
    <row r="89" spans="1:17" s="53" customFormat="1" ht="12" customHeight="1">
      <c r="B89" s="63"/>
      <c r="C89" s="13"/>
      <c r="D89" s="13"/>
    </row>
    <row r="90" spans="1:17" s="53" customFormat="1" ht="12" customHeight="1">
      <c r="B90" s="63"/>
      <c r="C90" s="13"/>
      <c r="D90" s="13"/>
    </row>
    <row r="91" spans="1:17" s="53" customFormat="1" ht="12" customHeight="1">
      <c r="B91" s="63"/>
      <c r="C91" s="13"/>
      <c r="D91" s="13"/>
    </row>
    <row r="92" spans="1:17" s="53" customFormat="1" ht="12" customHeight="1">
      <c r="B92" s="63"/>
      <c r="C92" s="13"/>
      <c r="D92" s="13"/>
    </row>
    <row r="93" spans="1:17" s="53" customFormat="1" ht="12" customHeight="1">
      <c r="B93" s="63"/>
      <c r="C93" s="13"/>
      <c r="D93" s="13"/>
    </row>
    <row r="94" spans="1:17" s="53" customFormat="1" ht="12" customHeight="1">
      <c r="C94" s="13"/>
      <c r="D94" s="13"/>
    </row>
    <row r="95" spans="1:17" s="53" customFormat="1" ht="12" customHeight="1">
      <c r="C95" s="13"/>
      <c r="D95" s="13"/>
    </row>
    <row r="96" spans="1:17" s="53" customFormat="1" ht="12" customHeight="1">
      <c r="C96" s="13"/>
      <c r="D96" s="13"/>
    </row>
    <row r="97" spans="3:4" s="53" customFormat="1" ht="12" customHeight="1">
      <c r="C97" s="13"/>
      <c r="D97" s="13"/>
    </row>
    <row r="98" spans="3:4" s="53" customFormat="1" ht="12" customHeight="1">
      <c r="C98" s="13"/>
      <c r="D98" s="13"/>
    </row>
    <row r="99" spans="3:4" s="53" customFormat="1" ht="12" customHeight="1">
      <c r="C99" s="13"/>
      <c r="D99" s="13"/>
    </row>
    <row r="100" spans="3:4" s="53" customFormat="1" ht="12" customHeight="1">
      <c r="C100" s="13"/>
      <c r="D100" s="13"/>
    </row>
    <row r="101" spans="3:4" s="53" customFormat="1" ht="12" customHeight="1">
      <c r="C101" s="13"/>
      <c r="D101" s="13"/>
    </row>
    <row r="102" spans="3:4" s="53" customFormat="1" ht="12" customHeight="1">
      <c r="C102" s="13"/>
      <c r="D102" s="13"/>
    </row>
    <row r="103" spans="3:4" s="53" customFormat="1" ht="12" customHeight="1">
      <c r="C103" s="13"/>
      <c r="D103" s="13"/>
    </row>
    <row r="104" spans="3:4" s="53" customFormat="1" ht="12" customHeight="1">
      <c r="C104" s="13"/>
      <c r="D104" s="13"/>
    </row>
    <row r="105" spans="3:4" s="53" customFormat="1" ht="12" customHeight="1">
      <c r="C105" s="13"/>
      <c r="D105" s="13"/>
    </row>
    <row r="106" spans="3:4" s="53" customFormat="1" ht="12" customHeight="1">
      <c r="C106" s="13"/>
      <c r="D106" s="13"/>
    </row>
    <row r="107" spans="3:4" s="53" customFormat="1" ht="12" customHeight="1">
      <c r="C107" s="13"/>
      <c r="D107" s="13"/>
    </row>
    <row r="108" spans="3:4" s="53" customFormat="1" ht="12" customHeight="1">
      <c r="C108" s="13"/>
      <c r="D108" s="13"/>
    </row>
    <row r="109" spans="3:4" s="53" customFormat="1" ht="12" customHeight="1">
      <c r="C109" s="13"/>
      <c r="D109" s="13"/>
    </row>
    <row r="110" spans="3:4" s="53" customFormat="1" ht="12" customHeight="1">
      <c r="C110" s="13"/>
      <c r="D110" s="13"/>
    </row>
    <row r="111" spans="3:4" s="53" customFormat="1" ht="12" customHeight="1">
      <c r="C111" s="13"/>
      <c r="D111" s="13"/>
    </row>
    <row r="112" spans="3:4" s="53" customFormat="1" ht="12" customHeight="1">
      <c r="C112" s="13"/>
      <c r="D112" s="13"/>
    </row>
    <row r="113" spans="3:4" s="53" customFormat="1" ht="12" customHeight="1">
      <c r="C113" s="13"/>
      <c r="D113" s="13"/>
    </row>
    <row r="114" spans="3:4" s="53" customFormat="1" ht="12" customHeight="1">
      <c r="C114" s="13"/>
      <c r="D114" s="13"/>
    </row>
    <row r="115" spans="3:4" s="53" customFormat="1" ht="12" customHeight="1">
      <c r="C115" s="13"/>
      <c r="D115" s="13"/>
    </row>
    <row r="116" spans="3:4" s="53" customFormat="1" ht="12" customHeight="1">
      <c r="C116" s="13"/>
      <c r="D116" s="13"/>
    </row>
    <row r="117" spans="3:4" s="53" customFormat="1" ht="12" customHeight="1">
      <c r="C117" s="13"/>
      <c r="D117" s="13"/>
    </row>
    <row r="118" spans="3:4" s="53" customFormat="1" ht="12" customHeight="1">
      <c r="C118" s="13"/>
      <c r="D118" s="13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8"/>
  <sheetViews>
    <sheetView topLeftCell="A21" workbookViewId="0">
      <selection activeCell="A21" sqref="A21:C68"/>
    </sheetView>
  </sheetViews>
  <sheetFormatPr defaultRowHeight="12.75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2" t="s">
        <v>54</v>
      </c>
      <c r="I1" s="33" t="s">
        <v>55</v>
      </c>
      <c r="J1" s="34" t="s">
        <v>56</v>
      </c>
    </row>
    <row r="2" spans="1:16">
      <c r="I2" s="35" t="s">
        <v>57</v>
      </c>
      <c r="J2" s="36" t="s">
        <v>58</v>
      </c>
    </row>
    <row r="3" spans="1:16">
      <c r="A3" s="37" t="s">
        <v>59</v>
      </c>
      <c r="I3" s="35" t="s">
        <v>60</v>
      </c>
      <c r="J3" s="36" t="s">
        <v>61</v>
      </c>
    </row>
    <row r="4" spans="1:16">
      <c r="I4" s="35" t="s">
        <v>62</v>
      </c>
      <c r="J4" s="36" t="s">
        <v>61</v>
      </c>
    </row>
    <row r="5" spans="1:16" ht="13.5" thickBot="1">
      <c r="I5" s="38" t="s">
        <v>63</v>
      </c>
      <c r="J5" s="39" t="s">
        <v>64</v>
      </c>
    </row>
    <row r="10" spans="1:16" ht="13.5" thickBot="1"/>
    <row r="11" spans="1:16" ht="12.75" customHeight="1" thickBot="1">
      <c r="A11" s="12" t="str">
        <f t="shared" ref="A11:A42" si="0">P11</f>
        <v> ASS 134.179 </v>
      </c>
      <c r="B11" s="17" t="str">
        <f t="shared" ref="B11:B42" si="1">IF(H11=INT(H11),"I","II")</f>
        <v>I</v>
      </c>
      <c r="C11" s="12">
        <f t="shared" ref="C11:C42" si="2">1*G11</f>
        <v>41639.084000000003</v>
      </c>
      <c r="D11" s="15" t="str">
        <f t="shared" ref="D11:D42" si="3">VLOOKUP(F11,I$1:J$5,2,FALSE)</f>
        <v>vis</v>
      </c>
      <c r="E11" s="40">
        <f>VLOOKUP(C11,Active!C$21:E$973,3,FALSE)</f>
        <v>0</v>
      </c>
      <c r="F11" s="17" t="s">
        <v>63</v>
      </c>
      <c r="G11" s="15" t="str">
        <f t="shared" ref="G11:G42" si="4">MID(I11,3,LEN(I11)-3)</f>
        <v>41639.084</v>
      </c>
      <c r="H11" s="12">
        <f t="shared" ref="H11:H42" si="5">1*K11</f>
        <v>0</v>
      </c>
      <c r="I11" s="41" t="s">
        <v>174</v>
      </c>
      <c r="J11" s="42" t="s">
        <v>175</v>
      </c>
      <c r="K11" s="41">
        <v>0</v>
      </c>
      <c r="L11" s="41" t="s">
        <v>122</v>
      </c>
      <c r="M11" s="42" t="s">
        <v>162</v>
      </c>
      <c r="N11" s="42" t="s">
        <v>163</v>
      </c>
      <c r="O11" s="43" t="s">
        <v>164</v>
      </c>
      <c r="P11" s="43" t="s">
        <v>165</v>
      </c>
    </row>
    <row r="12" spans="1:16" ht="12.75" customHeight="1" thickBot="1">
      <c r="A12" s="12" t="str">
        <f t="shared" si="0"/>
        <v> BBS 57 </v>
      </c>
      <c r="B12" s="17" t="str">
        <f t="shared" si="1"/>
        <v>II</v>
      </c>
      <c r="C12" s="12">
        <f t="shared" si="2"/>
        <v>44917.315999999999</v>
      </c>
      <c r="D12" s="15" t="str">
        <f t="shared" si="3"/>
        <v>vis</v>
      </c>
      <c r="E12" s="40">
        <f>VLOOKUP(C12,Active!C$21:E$973,3,FALSE)</f>
        <v>1282.4951411036018</v>
      </c>
      <c r="F12" s="17" t="s">
        <v>63</v>
      </c>
      <c r="G12" s="15" t="str">
        <f t="shared" si="4"/>
        <v>44917.316</v>
      </c>
      <c r="H12" s="12">
        <f t="shared" si="5"/>
        <v>1282.5</v>
      </c>
      <c r="I12" s="41" t="s">
        <v>182</v>
      </c>
      <c r="J12" s="42" t="s">
        <v>183</v>
      </c>
      <c r="K12" s="41">
        <v>1282.5</v>
      </c>
      <c r="L12" s="41" t="s">
        <v>184</v>
      </c>
      <c r="M12" s="42" t="s">
        <v>162</v>
      </c>
      <c r="N12" s="42" t="s">
        <v>163</v>
      </c>
      <c r="O12" s="43" t="s">
        <v>180</v>
      </c>
      <c r="P12" s="43" t="s">
        <v>181</v>
      </c>
    </row>
    <row r="13" spans="1:16" ht="12.75" customHeight="1" thickBot="1">
      <c r="A13" s="12" t="str">
        <f t="shared" si="0"/>
        <v> BBS 99 </v>
      </c>
      <c r="B13" s="17" t="str">
        <f t="shared" si="1"/>
        <v>I</v>
      </c>
      <c r="C13" s="12">
        <f t="shared" si="2"/>
        <v>48507.426800000001</v>
      </c>
      <c r="D13" s="15" t="str">
        <f t="shared" si="3"/>
        <v>vis</v>
      </c>
      <c r="E13" s="40">
        <f>VLOOKUP(C13,Active!C$21:E$973,3,FALSE)</f>
        <v>2687.0021000447546</v>
      </c>
      <c r="F13" s="17" t="s">
        <v>63</v>
      </c>
      <c r="G13" s="15" t="str">
        <f t="shared" si="4"/>
        <v>48507.4268</v>
      </c>
      <c r="H13" s="12">
        <f t="shared" si="5"/>
        <v>2687</v>
      </c>
      <c r="I13" s="41" t="s">
        <v>201</v>
      </c>
      <c r="J13" s="42" t="s">
        <v>202</v>
      </c>
      <c r="K13" s="41">
        <v>2687</v>
      </c>
      <c r="L13" s="41" t="s">
        <v>203</v>
      </c>
      <c r="M13" s="42" t="s">
        <v>162</v>
      </c>
      <c r="N13" s="42" t="s">
        <v>163</v>
      </c>
      <c r="O13" s="43" t="s">
        <v>204</v>
      </c>
      <c r="P13" s="43" t="s">
        <v>205</v>
      </c>
    </row>
    <row r="14" spans="1:16" ht="12.75" customHeight="1" thickBot="1">
      <c r="A14" s="12" t="str">
        <f t="shared" si="0"/>
        <v>BAVM 90 </v>
      </c>
      <c r="B14" s="17" t="str">
        <f t="shared" si="1"/>
        <v>I</v>
      </c>
      <c r="C14" s="12">
        <f t="shared" si="2"/>
        <v>50005.322399999997</v>
      </c>
      <c r="D14" s="15" t="str">
        <f t="shared" si="3"/>
        <v>vis</v>
      </c>
      <c r="E14" s="40">
        <f>VLOOKUP(C14,Active!C$21:E$973,3,FALSE)</f>
        <v>3273.0020624880658</v>
      </c>
      <c r="F14" s="17" t="s">
        <v>63</v>
      </c>
      <c r="G14" s="15" t="str">
        <f t="shared" si="4"/>
        <v>50005.3224</v>
      </c>
      <c r="H14" s="12">
        <f t="shared" si="5"/>
        <v>3273</v>
      </c>
      <c r="I14" s="41" t="s">
        <v>219</v>
      </c>
      <c r="J14" s="42" t="s">
        <v>220</v>
      </c>
      <c r="K14" s="41">
        <v>3273</v>
      </c>
      <c r="L14" s="41" t="s">
        <v>221</v>
      </c>
      <c r="M14" s="42" t="s">
        <v>162</v>
      </c>
      <c r="N14" s="42" t="s">
        <v>222</v>
      </c>
      <c r="O14" s="43" t="s">
        <v>223</v>
      </c>
      <c r="P14" s="44" t="s">
        <v>224</v>
      </c>
    </row>
    <row r="15" spans="1:16" ht="12.75" customHeight="1" thickBot="1">
      <c r="A15" s="12" t="str">
        <f t="shared" si="0"/>
        <v>BAVM 118 </v>
      </c>
      <c r="B15" s="17" t="str">
        <f t="shared" si="1"/>
        <v>I</v>
      </c>
      <c r="C15" s="12">
        <f t="shared" si="2"/>
        <v>51140.246099999997</v>
      </c>
      <c r="D15" s="15" t="str">
        <f t="shared" si="3"/>
        <v>vis</v>
      </c>
      <c r="E15" s="40">
        <f>VLOOKUP(C15,Active!C$21:E$973,3,FALSE)</f>
        <v>3717.0017948966697</v>
      </c>
      <c r="F15" s="17" t="s">
        <v>63</v>
      </c>
      <c r="G15" s="15" t="str">
        <f t="shared" si="4"/>
        <v>51140.2461</v>
      </c>
      <c r="H15" s="12">
        <f t="shared" si="5"/>
        <v>3717</v>
      </c>
      <c r="I15" s="41" t="s">
        <v>225</v>
      </c>
      <c r="J15" s="42" t="s">
        <v>226</v>
      </c>
      <c r="K15" s="41">
        <v>3717</v>
      </c>
      <c r="L15" s="41" t="s">
        <v>227</v>
      </c>
      <c r="M15" s="42" t="s">
        <v>162</v>
      </c>
      <c r="N15" s="42" t="s">
        <v>228</v>
      </c>
      <c r="O15" s="43" t="s">
        <v>223</v>
      </c>
      <c r="P15" s="44" t="s">
        <v>229</v>
      </c>
    </row>
    <row r="16" spans="1:16" ht="12.75" customHeight="1" thickBot="1">
      <c r="A16" s="12" t="str">
        <f t="shared" si="0"/>
        <v>IBVS 5960 </v>
      </c>
      <c r="B16" s="17" t="str">
        <f t="shared" si="1"/>
        <v>II</v>
      </c>
      <c r="C16" s="12">
        <f t="shared" si="2"/>
        <v>55476.733999999997</v>
      </c>
      <c r="D16" s="15" t="str">
        <f t="shared" si="3"/>
        <v>vis</v>
      </c>
      <c r="E16" s="40">
        <f>VLOOKUP(C16,Active!C$21:E$973,3,FALSE)</f>
        <v>5413.5030373970694</v>
      </c>
      <c r="F16" s="17" t="s">
        <v>63</v>
      </c>
      <c r="G16" s="15" t="str">
        <f t="shared" si="4"/>
        <v>55476.734</v>
      </c>
      <c r="H16" s="12">
        <f t="shared" si="5"/>
        <v>5413.5</v>
      </c>
      <c r="I16" s="41" t="s">
        <v>248</v>
      </c>
      <c r="J16" s="42" t="s">
        <v>249</v>
      </c>
      <c r="K16" s="41" t="s">
        <v>250</v>
      </c>
      <c r="L16" s="41" t="s">
        <v>251</v>
      </c>
      <c r="M16" s="42" t="s">
        <v>239</v>
      </c>
      <c r="N16" s="42" t="s">
        <v>63</v>
      </c>
      <c r="O16" s="43" t="s">
        <v>180</v>
      </c>
      <c r="P16" s="44" t="s">
        <v>252</v>
      </c>
    </row>
    <row r="17" spans="1:16" ht="12.75" customHeight="1" thickBot="1">
      <c r="A17" s="12" t="str">
        <f t="shared" si="0"/>
        <v>OEJV 0160 </v>
      </c>
      <c r="B17" s="17" t="str">
        <f t="shared" si="1"/>
        <v>I</v>
      </c>
      <c r="C17" s="12">
        <f t="shared" si="2"/>
        <v>56155.386409999999</v>
      </c>
      <c r="D17" s="15" t="str">
        <f t="shared" si="3"/>
        <v>vis</v>
      </c>
      <c r="E17" s="40">
        <f>VLOOKUP(C17,Active!C$21:E$973,3,FALSE)</f>
        <v>5679.0023731131669</v>
      </c>
      <c r="F17" s="17" t="s">
        <v>63</v>
      </c>
      <c r="G17" s="15" t="str">
        <f t="shared" si="4"/>
        <v>56155.38641</v>
      </c>
      <c r="H17" s="12">
        <f t="shared" si="5"/>
        <v>5679</v>
      </c>
      <c r="I17" s="41" t="s">
        <v>264</v>
      </c>
      <c r="J17" s="42" t="s">
        <v>265</v>
      </c>
      <c r="K17" s="41" t="s">
        <v>266</v>
      </c>
      <c r="L17" s="41" t="s">
        <v>267</v>
      </c>
      <c r="M17" s="42" t="s">
        <v>239</v>
      </c>
      <c r="N17" s="42" t="s">
        <v>55</v>
      </c>
      <c r="O17" s="43" t="s">
        <v>268</v>
      </c>
      <c r="P17" s="44" t="s">
        <v>269</v>
      </c>
    </row>
    <row r="18" spans="1:16" ht="12.75" customHeight="1" thickBot="1">
      <c r="A18" s="12" t="str">
        <f t="shared" si="0"/>
        <v>OEJV 0160 </v>
      </c>
      <c r="B18" s="17" t="str">
        <f t="shared" si="1"/>
        <v>I</v>
      </c>
      <c r="C18" s="12">
        <f t="shared" si="2"/>
        <v>56155.388019999999</v>
      </c>
      <c r="D18" s="15" t="str">
        <f t="shared" si="3"/>
        <v>vis</v>
      </c>
      <c r="E18" s="40">
        <f>VLOOKUP(C18,Active!C$21:E$973,3,FALSE)</f>
        <v>5679.0030029701065</v>
      </c>
      <c r="F18" s="17" t="s">
        <v>63</v>
      </c>
      <c r="G18" s="15" t="str">
        <f t="shared" si="4"/>
        <v>56155.38802</v>
      </c>
      <c r="H18" s="12">
        <f t="shared" si="5"/>
        <v>5679</v>
      </c>
      <c r="I18" s="41" t="s">
        <v>270</v>
      </c>
      <c r="J18" s="42" t="s">
        <v>271</v>
      </c>
      <c r="K18" s="41" t="s">
        <v>266</v>
      </c>
      <c r="L18" s="41" t="s">
        <v>272</v>
      </c>
      <c r="M18" s="42" t="s">
        <v>239</v>
      </c>
      <c r="N18" s="42" t="s">
        <v>55</v>
      </c>
      <c r="O18" s="43" t="s">
        <v>273</v>
      </c>
      <c r="P18" s="44" t="s">
        <v>269</v>
      </c>
    </row>
    <row r="19" spans="1:16" ht="12.75" customHeight="1" thickBot="1">
      <c r="A19" s="12" t="str">
        <f t="shared" si="0"/>
        <v>OEJV 0160 </v>
      </c>
      <c r="B19" s="17" t="str">
        <f t="shared" si="1"/>
        <v>I</v>
      </c>
      <c r="C19" s="12">
        <f t="shared" si="2"/>
        <v>56219.289389999998</v>
      </c>
      <c r="D19" s="15" t="str">
        <f t="shared" si="3"/>
        <v>vis</v>
      </c>
      <c r="E19" s="40">
        <f>VLOOKUP(C19,Active!C$21:E$973,3,FALSE)</f>
        <v>5704.0022088026599</v>
      </c>
      <c r="F19" s="17" t="s">
        <v>63</v>
      </c>
      <c r="G19" s="15" t="str">
        <f t="shared" si="4"/>
        <v>56219.28939</v>
      </c>
      <c r="H19" s="12">
        <f t="shared" si="5"/>
        <v>5704</v>
      </c>
      <c r="I19" s="41" t="s">
        <v>274</v>
      </c>
      <c r="J19" s="42" t="s">
        <v>275</v>
      </c>
      <c r="K19" s="41" t="s">
        <v>276</v>
      </c>
      <c r="L19" s="41" t="s">
        <v>277</v>
      </c>
      <c r="M19" s="42" t="s">
        <v>239</v>
      </c>
      <c r="N19" s="42" t="s">
        <v>55</v>
      </c>
      <c r="O19" s="43" t="s">
        <v>268</v>
      </c>
      <c r="P19" s="44" t="s">
        <v>269</v>
      </c>
    </row>
    <row r="20" spans="1:16" ht="12.75" customHeight="1" thickBot="1">
      <c r="A20" s="12" t="str">
        <f t="shared" si="0"/>
        <v>BAVM 238 </v>
      </c>
      <c r="B20" s="17" t="str">
        <f t="shared" si="1"/>
        <v>I</v>
      </c>
      <c r="C20" s="12">
        <f t="shared" si="2"/>
        <v>56891.553099999997</v>
      </c>
      <c r="D20" s="15" t="str">
        <f t="shared" si="3"/>
        <v>vis</v>
      </c>
      <c r="E20" s="40">
        <f>VLOOKUP(C20,Active!C$21:E$973,3,FALSE)</f>
        <v>5967.0021861121613</v>
      </c>
      <c r="F20" s="17" t="s">
        <v>63</v>
      </c>
      <c r="G20" s="15" t="str">
        <f t="shared" si="4"/>
        <v>56891.5531</v>
      </c>
      <c r="H20" s="12">
        <f t="shared" si="5"/>
        <v>5967</v>
      </c>
      <c r="I20" s="41" t="s">
        <v>278</v>
      </c>
      <c r="J20" s="42" t="s">
        <v>279</v>
      </c>
      <c r="K20" s="41" t="s">
        <v>280</v>
      </c>
      <c r="L20" s="41" t="s">
        <v>281</v>
      </c>
      <c r="M20" s="42" t="s">
        <v>239</v>
      </c>
      <c r="N20" s="42" t="s">
        <v>228</v>
      </c>
      <c r="O20" s="43" t="s">
        <v>282</v>
      </c>
      <c r="P20" s="44" t="s">
        <v>283</v>
      </c>
    </row>
    <row r="21" spans="1:16" ht="12.75" customHeight="1" thickBot="1">
      <c r="A21" s="12" t="str">
        <f t="shared" si="0"/>
        <v> VB 5.14 </v>
      </c>
      <c r="B21" s="17" t="str">
        <f t="shared" si="1"/>
        <v>I</v>
      </c>
      <c r="C21" s="12">
        <f t="shared" si="2"/>
        <v>26647.33</v>
      </c>
      <c r="D21" s="15" t="str">
        <f t="shared" si="3"/>
        <v>vis</v>
      </c>
      <c r="E21" s="40">
        <f>VLOOKUP(C21,Active!C$21:E$973,3,FALSE)</f>
        <v>-5865.0064002854315</v>
      </c>
      <c r="F21" s="17" t="s">
        <v>63</v>
      </c>
      <c r="G21" s="15" t="str">
        <f t="shared" si="4"/>
        <v>26647.330</v>
      </c>
      <c r="H21" s="12">
        <f t="shared" si="5"/>
        <v>-5865</v>
      </c>
      <c r="I21" s="41" t="s">
        <v>65</v>
      </c>
      <c r="J21" s="42" t="s">
        <v>66</v>
      </c>
      <c r="K21" s="41">
        <v>-5865</v>
      </c>
      <c r="L21" s="41" t="s">
        <v>67</v>
      </c>
      <c r="M21" s="42" t="s">
        <v>68</v>
      </c>
      <c r="N21" s="42"/>
      <c r="O21" s="43" t="s">
        <v>69</v>
      </c>
      <c r="P21" s="43" t="s">
        <v>70</v>
      </c>
    </row>
    <row r="22" spans="1:16" ht="12.75" customHeight="1" thickBot="1">
      <c r="A22" s="12" t="str">
        <f t="shared" si="0"/>
        <v> VB 5.14 </v>
      </c>
      <c r="B22" s="17" t="str">
        <f t="shared" si="1"/>
        <v>I</v>
      </c>
      <c r="C22" s="12">
        <f t="shared" si="2"/>
        <v>26928.488000000001</v>
      </c>
      <c r="D22" s="15" t="str">
        <f t="shared" si="3"/>
        <v>vis</v>
      </c>
      <c r="E22" s="40">
        <f>VLOOKUP(C22,Active!C$21:E$973,3,FALSE)</f>
        <v>-5755.0130353001568</v>
      </c>
      <c r="F22" s="17" t="s">
        <v>63</v>
      </c>
      <c r="G22" s="15" t="str">
        <f t="shared" si="4"/>
        <v>26928.488</v>
      </c>
      <c r="H22" s="12">
        <f t="shared" si="5"/>
        <v>-5755</v>
      </c>
      <c r="I22" s="41" t="s">
        <v>71</v>
      </c>
      <c r="J22" s="42" t="s">
        <v>72</v>
      </c>
      <c r="K22" s="41">
        <v>-5755</v>
      </c>
      <c r="L22" s="41" t="s">
        <v>73</v>
      </c>
      <c r="M22" s="42" t="s">
        <v>68</v>
      </c>
      <c r="N22" s="42"/>
      <c r="O22" s="43" t="s">
        <v>69</v>
      </c>
      <c r="P22" s="43" t="s">
        <v>70</v>
      </c>
    </row>
    <row r="23" spans="1:16" ht="12.75" customHeight="1" thickBot="1">
      <c r="A23" s="12" t="str">
        <f t="shared" si="0"/>
        <v> MVS 594 </v>
      </c>
      <c r="B23" s="17" t="str">
        <f t="shared" si="1"/>
        <v>I</v>
      </c>
      <c r="C23" s="12">
        <f t="shared" si="2"/>
        <v>26946.454000000002</v>
      </c>
      <c r="D23" s="15" t="str">
        <f t="shared" si="3"/>
        <v>vis</v>
      </c>
      <c r="E23" s="40">
        <f>VLOOKUP(C23,Active!C$21:E$973,3,FALSE)</f>
        <v>-5747.9844577909789</v>
      </c>
      <c r="F23" s="17" t="s">
        <v>63</v>
      </c>
      <c r="G23" s="15" t="str">
        <f t="shared" si="4"/>
        <v>26946.454</v>
      </c>
      <c r="H23" s="12">
        <f t="shared" si="5"/>
        <v>-5748</v>
      </c>
      <c r="I23" s="41" t="s">
        <v>74</v>
      </c>
      <c r="J23" s="42" t="s">
        <v>75</v>
      </c>
      <c r="K23" s="41">
        <v>-5748</v>
      </c>
      <c r="L23" s="41" t="s">
        <v>76</v>
      </c>
      <c r="M23" s="42" t="s">
        <v>68</v>
      </c>
      <c r="N23" s="42"/>
      <c r="O23" s="43" t="s">
        <v>77</v>
      </c>
      <c r="P23" s="43" t="s">
        <v>78</v>
      </c>
    </row>
    <row r="24" spans="1:16" ht="12.75" customHeight="1" thickBot="1">
      <c r="A24" s="12" t="str">
        <f t="shared" si="0"/>
        <v> MVS 594 </v>
      </c>
      <c r="B24" s="17" t="str">
        <f t="shared" si="1"/>
        <v>I</v>
      </c>
      <c r="C24" s="12">
        <f t="shared" si="2"/>
        <v>26951.513999999999</v>
      </c>
      <c r="D24" s="15" t="str">
        <f t="shared" si="3"/>
        <v>vis</v>
      </c>
      <c r="E24" s="40">
        <f>VLOOKUP(C24,Active!C$21:E$973,3,FALSE)</f>
        <v>-5746.0049074071194</v>
      </c>
      <c r="F24" s="17" t="s">
        <v>63</v>
      </c>
      <c r="G24" s="15" t="str">
        <f t="shared" si="4"/>
        <v>26951.514</v>
      </c>
      <c r="H24" s="12">
        <f t="shared" si="5"/>
        <v>-5746</v>
      </c>
      <c r="I24" s="41" t="s">
        <v>79</v>
      </c>
      <c r="J24" s="42" t="s">
        <v>80</v>
      </c>
      <c r="K24" s="41">
        <v>-5746</v>
      </c>
      <c r="L24" s="41" t="s">
        <v>81</v>
      </c>
      <c r="M24" s="42" t="s">
        <v>68</v>
      </c>
      <c r="N24" s="42"/>
      <c r="O24" s="43" t="s">
        <v>77</v>
      </c>
      <c r="P24" s="43" t="s">
        <v>78</v>
      </c>
    </row>
    <row r="25" spans="1:16" ht="12.75" customHeight="1" thickBot="1">
      <c r="A25" s="12" t="str">
        <f t="shared" si="0"/>
        <v> VB 5.14 </v>
      </c>
      <c r="B25" s="17" t="str">
        <f t="shared" si="1"/>
        <v>I</v>
      </c>
      <c r="C25" s="12">
        <f t="shared" si="2"/>
        <v>27332.383999999998</v>
      </c>
      <c r="D25" s="15" t="str">
        <f t="shared" si="3"/>
        <v>vis</v>
      </c>
      <c r="E25" s="40">
        <f>VLOOKUP(C25,Active!C$21:E$973,3,FALSE)</f>
        <v>-5597.0026633950638</v>
      </c>
      <c r="F25" s="17" t="s">
        <v>63</v>
      </c>
      <c r="G25" s="15" t="str">
        <f t="shared" si="4"/>
        <v>27332.384</v>
      </c>
      <c r="H25" s="12">
        <f t="shared" si="5"/>
        <v>-5597</v>
      </c>
      <c r="I25" s="41" t="s">
        <v>82</v>
      </c>
      <c r="J25" s="42" t="s">
        <v>83</v>
      </c>
      <c r="K25" s="41">
        <v>-5597</v>
      </c>
      <c r="L25" s="41" t="s">
        <v>84</v>
      </c>
      <c r="M25" s="42" t="s">
        <v>68</v>
      </c>
      <c r="N25" s="42"/>
      <c r="O25" s="43" t="s">
        <v>69</v>
      </c>
      <c r="P25" s="43" t="s">
        <v>70</v>
      </c>
    </row>
    <row r="26" spans="1:16" ht="12.75" customHeight="1" thickBot="1">
      <c r="A26" s="12" t="str">
        <f t="shared" si="0"/>
        <v> MVS 594 </v>
      </c>
      <c r="B26" s="17" t="str">
        <f t="shared" si="1"/>
        <v>I</v>
      </c>
      <c r="C26" s="12">
        <f t="shared" si="2"/>
        <v>27695.401000000002</v>
      </c>
      <c r="D26" s="15" t="str">
        <f t="shared" si="3"/>
        <v>vis</v>
      </c>
      <c r="E26" s="40">
        <f>VLOOKUP(C26,Active!C$21:E$973,3,FALSE)</f>
        <v>-5454.9847895417151</v>
      </c>
      <c r="F26" s="17" t="s">
        <v>63</v>
      </c>
      <c r="G26" s="15" t="str">
        <f t="shared" si="4"/>
        <v>27695.401</v>
      </c>
      <c r="H26" s="12">
        <f t="shared" si="5"/>
        <v>-5455</v>
      </c>
      <c r="I26" s="41" t="s">
        <v>85</v>
      </c>
      <c r="J26" s="42" t="s">
        <v>86</v>
      </c>
      <c r="K26" s="41">
        <v>-5455</v>
      </c>
      <c r="L26" s="41" t="s">
        <v>87</v>
      </c>
      <c r="M26" s="42" t="s">
        <v>68</v>
      </c>
      <c r="N26" s="42"/>
      <c r="O26" s="43" t="s">
        <v>77</v>
      </c>
      <c r="P26" s="43" t="s">
        <v>78</v>
      </c>
    </row>
    <row r="27" spans="1:16" ht="12.75" customHeight="1" thickBot="1">
      <c r="A27" s="12" t="str">
        <f t="shared" si="0"/>
        <v> MVS 594 </v>
      </c>
      <c r="B27" s="17" t="str">
        <f t="shared" si="1"/>
        <v>I</v>
      </c>
      <c r="C27" s="12">
        <f t="shared" si="2"/>
        <v>27718.415000000001</v>
      </c>
      <c r="D27" s="15" t="str">
        <f t="shared" si="3"/>
        <v>vis</v>
      </c>
      <c r="E27" s="40">
        <f>VLOOKUP(C27,Active!C$21:E$973,3,FALSE)</f>
        <v>-5445.9813562345671</v>
      </c>
      <c r="F27" s="17" t="s">
        <v>63</v>
      </c>
      <c r="G27" s="15" t="str">
        <f t="shared" si="4"/>
        <v>27718.415</v>
      </c>
      <c r="H27" s="12">
        <f t="shared" si="5"/>
        <v>-5446</v>
      </c>
      <c r="I27" s="41" t="s">
        <v>88</v>
      </c>
      <c r="J27" s="42" t="s">
        <v>89</v>
      </c>
      <c r="K27" s="41">
        <v>-5446</v>
      </c>
      <c r="L27" s="41" t="s">
        <v>90</v>
      </c>
      <c r="M27" s="42" t="s">
        <v>68</v>
      </c>
      <c r="N27" s="42"/>
      <c r="O27" s="43" t="s">
        <v>77</v>
      </c>
      <c r="P27" s="43" t="s">
        <v>78</v>
      </c>
    </row>
    <row r="28" spans="1:16" ht="12.75" customHeight="1" thickBot="1">
      <c r="A28" s="12" t="str">
        <f t="shared" si="0"/>
        <v> MVS 594 </v>
      </c>
      <c r="B28" s="17" t="str">
        <f t="shared" si="1"/>
        <v>I</v>
      </c>
      <c r="C28" s="12">
        <f t="shared" si="2"/>
        <v>28022.521000000001</v>
      </c>
      <c r="D28" s="15" t="str">
        <f t="shared" si="3"/>
        <v>vis</v>
      </c>
      <c r="E28" s="40">
        <f>VLOOKUP(C28,Active!C$21:E$973,3,FALSE)</f>
        <v>-5327.010378164543</v>
      </c>
      <c r="F28" s="17" t="s">
        <v>63</v>
      </c>
      <c r="G28" s="15" t="str">
        <f t="shared" si="4"/>
        <v>28022.521</v>
      </c>
      <c r="H28" s="12">
        <f t="shared" si="5"/>
        <v>-5327</v>
      </c>
      <c r="I28" s="41" t="s">
        <v>91</v>
      </c>
      <c r="J28" s="42" t="s">
        <v>92</v>
      </c>
      <c r="K28" s="41">
        <v>-5327</v>
      </c>
      <c r="L28" s="41" t="s">
        <v>93</v>
      </c>
      <c r="M28" s="42" t="s">
        <v>68</v>
      </c>
      <c r="N28" s="42"/>
      <c r="O28" s="43" t="s">
        <v>77</v>
      </c>
      <c r="P28" s="43" t="s">
        <v>78</v>
      </c>
    </row>
    <row r="29" spans="1:16" ht="12.75" customHeight="1" thickBot="1">
      <c r="A29" s="12" t="str">
        <f t="shared" si="0"/>
        <v> MVS 594 </v>
      </c>
      <c r="B29" s="17" t="str">
        <f t="shared" si="1"/>
        <v>I</v>
      </c>
      <c r="C29" s="12">
        <f t="shared" si="2"/>
        <v>28040.47</v>
      </c>
      <c r="D29" s="15" t="str">
        <f t="shared" si="3"/>
        <v>vis</v>
      </c>
      <c r="E29" s="40">
        <f>VLOOKUP(C29,Active!C$21:E$973,3,FALSE)</f>
        <v>-5319.9884513187098</v>
      </c>
      <c r="F29" s="17" t="s">
        <v>63</v>
      </c>
      <c r="G29" s="15" t="str">
        <f t="shared" si="4"/>
        <v>28040.470</v>
      </c>
      <c r="H29" s="12">
        <f t="shared" si="5"/>
        <v>-5320</v>
      </c>
      <c r="I29" s="41" t="s">
        <v>94</v>
      </c>
      <c r="J29" s="42" t="s">
        <v>95</v>
      </c>
      <c r="K29" s="41">
        <v>-5320</v>
      </c>
      <c r="L29" s="41" t="s">
        <v>96</v>
      </c>
      <c r="M29" s="42" t="s">
        <v>68</v>
      </c>
      <c r="N29" s="42"/>
      <c r="O29" s="43" t="s">
        <v>77</v>
      </c>
      <c r="P29" s="43" t="s">
        <v>78</v>
      </c>
    </row>
    <row r="30" spans="1:16" ht="12.75" customHeight="1" thickBot="1">
      <c r="A30" s="12" t="str">
        <f t="shared" si="0"/>
        <v> MVS 594 </v>
      </c>
      <c r="B30" s="17" t="str">
        <f t="shared" si="1"/>
        <v>I</v>
      </c>
      <c r="C30" s="12">
        <f t="shared" si="2"/>
        <v>28104.335999999999</v>
      </c>
      <c r="D30" s="15" t="str">
        <f t="shared" si="3"/>
        <v>vis</v>
      </c>
      <c r="E30" s="40">
        <f>VLOOKUP(C30,Active!C$21:E$973,3,FALSE)</f>
        <v>-5295.0030827780693</v>
      </c>
      <c r="F30" s="17" t="s">
        <v>63</v>
      </c>
      <c r="G30" s="15" t="str">
        <f t="shared" si="4"/>
        <v>28104.336</v>
      </c>
      <c r="H30" s="12">
        <f t="shared" si="5"/>
        <v>-5295</v>
      </c>
      <c r="I30" s="41" t="s">
        <v>97</v>
      </c>
      <c r="J30" s="42" t="s">
        <v>98</v>
      </c>
      <c r="K30" s="41">
        <v>-5295</v>
      </c>
      <c r="L30" s="41" t="s">
        <v>99</v>
      </c>
      <c r="M30" s="42" t="s">
        <v>68</v>
      </c>
      <c r="N30" s="42"/>
      <c r="O30" s="43" t="s">
        <v>77</v>
      </c>
      <c r="P30" s="43" t="s">
        <v>78</v>
      </c>
    </row>
    <row r="31" spans="1:16" ht="12.75" customHeight="1" thickBot="1">
      <c r="A31" s="12" t="str">
        <f t="shared" si="0"/>
        <v> VB 5.14 </v>
      </c>
      <c r="B31" s="17" t="str">
        <f t="shared" si="1"/>
        <v>I</v>
      </c>
      <c r="C31" s="12">
        <f t="shared" si="2"/>
        <v>28339.51</v>
      </c>
      <c r="D31" s="15" t="str">
        <f t="shared" si="3"/>
        <v>vis</v>
      </c>
      <c r="E31" s="40">
        <f>VLOOKUP(C31,Active!C$21:E$973,3,FALSE)</f>
        <v>-5202.9993709254923</v>
      </c>
      <c r="F31" s="17" t="s">
        <v>63</v>
      </c>
      <c r="G31" s="15" t="str">
        <f t="shared" si="4"/>
        <v>28339.510</v>
      </c>
      <c r="H31" s="12">
        <f t="shared" si="5"/>
        <v>-5203</v>
      </c>
      <c r="I31" s="41" t="s">
        <v>100</v>
      </c>
      <c r="J31" s="42" t="s">
        <v>101</v>
      </c>
      <c r="K31" s="41">
        <v>-5203</v>
      </c>
      <c r="L31" s="41" t="s">
        <v>102</v>
      </c>
      <c r="M31" s="42" t="s">
        <v>68</v>
      </c>
      <c r="N31" s="42"/>
      <c r="O31" s="43" t="s">
        <v>69</v>
      </c>
      <c r="P31" s="43" t="s">
        <v>70</v>
      </c>
    </row>
    <row r="32" spans="1:16" ht="12.75" customHeight="1" thickBot="1">
      <c r="A32" s="12" t="str">
        <f t="shared" si="0"/>
        <v> MVS 594 </v>
      </c>
      <c r="B32" s="17" t="str">
        <f t="shared" si="1"/>
        <v>I</v>
      </c>
      <c r="C32" s="12">
        <f t="shared" si="2"/>
        <v>28408.528999999999</v>
      </c>
      <c r="D32" s="15" t="str">
        <f t="shared" si="3"/>
        <v>vis</v>
      </c>
      <c r="E32" s="40">
        <f>VLOOKUP(C32,Active!C$21:E$973,3,FALSE)</f>
        <v>-5175.998068960339</v>
      </c>
      <c r="F32" s="17" t="s">
        <v>63</v>
      </c>
      <c r="G32" s="15" t="str">
        <f t="shared" si="4"/>
        <v>28408.529</v>
      </c>
      <c r="H32" s="12">
        <f t="shared" si="5"/>
        <v>-5176</v>
      </c>
      <c r="I32" s="41" t="s">
        <v>103</v>
      </c>
      <c r="J32" s="42" t="s">
        <v>104</v>
      </c>
      <c r="K32" s="41">
        <v>-5176</v>
      </c>
      <c r="L32" s="41" t="s">
        <v>105</v>
      </c>
      <c r="M32" s="42" t="s">
        <v>68</v>
      </c>
      <c r="N32" s="42"/>
      <c r="O32" s="43" t="s">
        <v>77</v>
      </c>
      <c r="P32" s="43" t="s">
        <v>78</v>
      </c>
    </row>
    <row r="33" spans="1:16" ht="12.75" customHeight="1" thickBot="1">
      <c r="A33" s="12" t="str">
        <f t="shared" si="0"/>
        <v> MVS 594 </v>
      </c>
      <c r="B33" s="17" t="str">
        <f t="shared" si="1"/>
        <v>I</v>
      </c>
      <c r="C33" s="12">
        <f t="shared" si="2"/>
        <v>29111.465</v>
      </c>
      <c r="D33" s="15" t="str">
        <f t="shared" si="3"/>
        <v>vis</v>
      </c>
      <c r="E33" s="40">
        <f>VLOOKUP(C33,Active!C$21:E$973,3,FALSE)</f>
        <v>-4900.9986166620256</v>
      </c>
      <c r="F33" s="17" t="s">
        <v>63</v>
      </c>
      <c r="G33" s="15" t="str">
        <f t="shared" si="4"/>
        <v>29111.465</v>
      </c>
      <c r="H33" s="12">
        <f t="shared" si="5"/>
        <v>-4901</v>
      </c>
      <c r="I33" s="41" t="s">
        <v>106</v>
      </c>
      <c r="J33" s="42" t="s">
        <v>107</v>
      </c>
      <c r="K33" s="41">
        <v>-4901</v>
      </c>
      <c r="L33" s="41" t="s">
        <v>108</v>
      </c>
      <c r="M33" s="42" t="s">
        <v>68</v>
      </c>
      <c r="N33" s="42"/>
      <c r="O33" s="43" t="s">
        <v>77</v>
      </c>
      <c r="P33" s="43" t="s">
        <v>78</v>
      </c>
    </row>
    <row r="34" spans="1:16" ht="12.75" customHeight="1" thickBot="1">
      <c r="A34" s="12" t="str">
        <f t="shared" si="0"/>
        <v> VB 5.14 </v>
      </c>
      <c r="B34" s="17" t="str">
        <f t="shared" si="1"/>
        <v>I</v>
      </c>
      <c r="C34" s="12">
        <f t="shared" si="2"/>
        <v>29111.473000000002</v>
      </c>
      <c r="D34" s="15" t="str">
        <f t="shared" si="3"/>
        <v>vis</v>
      </c>
      <c r="E34" s="40">
        <f>VLOOKUP(C34,Active!C$21:E$973,3,FALSE)</f>
        <v>-4900.9954869380972</v>
      </c>
      <c r="F34" s="17" t="s">
        <v>63</v>
      </c>
      <c r="G34" s="15" t="str">
        <f t="shared" si="4"/>
        <v>29111.473</v>
      </c>
      <c r="H34" s="12">
        <f t="shared" si="5"/>
        <v>-4901</v>
      </c>
      <c r="I34" s="41" t="s">
        <v>109</v>
      </c>
      <c r="J34" s="42" t="s">
        <v>110</v>
      </c>
      <c r="K34" s="41">
        <v>-4901</v>
      </c>
      <c r="L34" s="41" t="s">
        <v>111</v>
      </c>
      <c r="M34" s="42" t="s">
        <v>68</v>
      </c>
      <c r="N34" s="42"/>
      <c r="O34" s="43" t="s">
        <v>69</v>
      </c>
      <c r="P34" s="43" t="s">
        <v>70</v>
      </c>
    </row>
    <row r="35" spans="1:16" ht="12.75" customHeight="1" thickBot="1">
      <c r="A35" s="12" t="str">
        <f t="shared" si="0"/>
        <v> MVS 594 </v>
      </c>
      <c r="B35" s="17" t="str">
        <f t="shared" si="1"/>
        <v>I</v>
      </c>
      <c r="C35" s="12">
        <f t="shared" si="2"/>
        <v>29134.496999999999</v>
      </c>
      <c r="D35" s="15" t="str">
        <f t="shared" si="3"/>
        <v>vis</v>
      </c>
      <c r="E35" s="40">
        <f>VLOOKUP(C35,Active!C$21:E$973,3,FALSE)</f>
        <v>-4891.9881414760421</v>
      </c>
      <c r="F35" s="17" t="s">
        <v>63</v>
      </c>
      <c r="G35" s="15" t="str">
        <f t="shared" si="4"/>
        <v>29134.497</v>
      </c>
      <c r="H35" s="12">
        <f t="shared" si="5"/>
        <v>-4892</v>
      </c>
      <c r="I35" s="41" t="s">
        <v>112</v>
      </c>
      <c r="J35" s="42" t="s">
        <v>113</v>
      </c>
      <c r="K35" s="41">
        <v>-4892</v>
      </c>
      <c r="L35" s="41" t="s">
        <v>96</v>
      </c>
      <c r="M35" s="42" t="s">
        <v>68</v>
      </c>
      <c r="N35" s="42"/>
      <c r="O35" s="43" t="s">
        <v>77</v>
      </c>
      <c r="P35" s="43" t="s">
        <v>78</v>
      </c>
    </row>
    <row r="36" spans="1:16" ht="12.75" customHeight="1" thickBot="1">
      <c r="A36" s="12" t="str">
        <f t="shared" si="0"/>
        <v> VB 5.14 </v>
      </c>
      <c r="B36" s="17" t="str">
        <f t="shared" si="1"/>
        <v>I</v>
      </c>
      <c r="C36" s="12">
        <f t="shared" si="2"/>
        <v>29193.298999999999</v>
      </c>
      <c r="D36" s="15" t="str">
        <f t="shared" si="3"/>
        <v>vis</v>
      </c>
      <c r="E36" s="40">
        <f>VLOOKUP(C36,Active!C$21:E$973,3,FALSE)</f>
        <v>-4868.9838881812248</v>
      </c>
      <c r="F36" s="17" t="s">
        <v>63</v>
      </c>
      <c r="G36" s="15" t="str">
        <f t="shared" si="4"/>
        <v>29193.299</v>
      </c>
      <c r="H36" s="12">
        <f t="shared" si="5"/>
        <v>-4869</v>
      </c>
      <c r="I36" s="41" t="s">
        <v>114</v>
      </c>
      <c r="J36" s="42" t="s">
        <v>115</v>
      </c>
      <c r="K36" s="41">
        <v>-4869</v>
      </c>
      <c r="L36" s="41" t="s">
        <v>116</v>
      </c>
      <c r="M36" s="42" t="s">
        <v>68</v>
      </c>
      <c r="N36" s="42"/>
      <c r="O36" s="43" t="s">
        <v>69</v>
      </c>
      <c r="P36" s="43" t="s">
        <v>70</v>
      </c>
    </row>
    <row r="37" spans="1:16" ht="12.75" customHeight="1" thickBot="1">
      <c r="A37" s="12" t="str">
        <f t="shared" si="0"/>
        <v> VB 5.14 </v>
      </c>
      <c r="B37" s="17" t="str">
        <f t="shared" si="1"/>
        <v>I</v>
      </c>
      <c r="C37" s="12">
        <f t="shared" si="2"/>
        <v>29216.244999999999</v>
      </c>
      <c r="D37" s="15" t="str">
        <f t="shared" si="3"/>
        <v>vis</v>
      </c>
      <c r="E37" s="40">
        <f>VLOOKUP(C37,Active!C$21:E$973,3,FALSE)</f>
        <v>-4860.0070575274567</v>
      </c>
      <c r="F37" s="17" t="s">
        <v>63</v>
      </c>
      <c r="G37" s="15" t="str">
        <f t="shared" si="4"/>
        <v>29216.245</v>
      </c>
      <c r="H37" s="12">
        <f t="shared" si="5"/>
        <v>-4860</v>
      </c>
      <c r="I37" s="41" t="s">
        <v>117</v>
      </c>
      <c r="J37" s="42" t="s">
        <v>118</v>
      </c>
      <c r="K37" s="41">
        <v>-4860</v>
      </c>
      <c r="L37" s="41" t="s">
        <v>119</v>
      </c>
      <c r="M37" s="42" t="s">
        <v>68</v>
      </c>
      <c r="N37" s="42"/>
      <c r="O37" s="43" t="s">
        <v>69</v>
      </c>
      <c r="P37" s="43" t="s">
        <v>70</v>
      </c>
    </row>
    <row r="38" spans="1:16" ht="12.75" customHeight="1" thickBot="1">
      <c r="A38" s="12" t="str">
        <f t="shared" si="0"/>
        <v> MVS 594 </v>
      </c>
      <c r="B38" s="17" t="str">
        <f t="shared" si="1"/>
        <v>I</v>
      </c>
      <c r="C38" s="12">
        <f t="shared" si="2"/>
        <v>32779.517</v>
      </c>
      <c r="D38" s="15" t="str">
        <f t="shared" si="3"/>
        <v>vis</v>
      </c>
      <c r="E38" s="40">
        <f>VLOOKUP(C38,Active!C$21:E$973,3,FALSE)</f>
        <v>-3465.9998529029767</v>
      </c>
      <c r="F38" s="17" t="s">
        <v>63</v>
      </c>
      <c r="G38" s="15" t="str">
        <f t="shared" si="4"/>
        <v>32779.517</v>
      </c>
      <c r="H38" s="12">
        <f t="shared" si="5"/>
        <v>-3466</v>
      </c>
      <c r="I38" s="41" t="s">
        <v>120</v>
      </c>
      <c r="J38" s="42" t="s">
        <v>121</v>
      </c>
      <c r="K38" s="41">
        <v>-3466</v>
      </c>
      <c r="L38" s="41" t="s">
        <v>122</v>
      </c>
      <c r="M38" s="42" t="s">
        <v>68</v>
      </c>
      <c r="N38" s="42"/>
      <c r="O38" s="43" t="s">
        <v>77</v>
      </c>
      <c r="P38" s="43" t="s">
        <v>78</v>
      </c>
    </row>
    <row r="39" spans="1:16" ht="12.75" customHeight="1" thickBot="1">
      <c r="A39" s="12" t="str">
        <f t="shared" si="0"/>
        <v> MVS 594 </v>
      </c>
      <c r="B39" s="17" t="str">
        <f t="shared" si="1"/>
        <v>I</v>
      </c>
      <c r="C39" s="12">
        <f t="shared" si="2"/>
        <v>32802.482000000004</v>
      </c>
      <c r="D39" s="15" t="str">
        <f t="shared" si="3"/>
        <v>vis</v>
      </c>
      <c r="E39" s="40">
        <f>VLOOKUP(C39,Active!C$21:E$973,3,FALSE)</f>
        <v>-3457.0155891548802</v>
      </c>
      <c r="F39" s="17" t="s">
        <v>63</v>
      </c>
      <c r="G39" s="15" t="str">
        <f t="shared" si="4"/>
        <v>32802.482</v>
      </c>
      <c r="H39" s="12">
        <f t="shared" si="5"/>
        <v>-3457</v>
      </c>
      <c r="I39" s="41" t="s">
        <v>123</v>
      </c>
      <c r="J39" s="42" t="s">
        <v>124</v>
      </c>
      <c r="K39" s="41">
        <v>-3457</v>
      </c>
      <c r="L39" s="41" t="s">
        <v>125</v>
      </c>
      <c r="M39" s="42" t="s">
        <v>68</v>
      </c>
      <c r="N39" s="42"/>
      <c r="O39" s="43" t="s">
        <v>77</v>
      </c>
      <c r="P39" s="43" t="s">
        <v>78</v>
      </c>
    </row>
    <row r="40" spans="1:16" ht="12.75" customHeight="1" thickBot="1">
      <c r="A40" s="12" t="str">
        <f t="shared" si="0"/>
        <v> MVS 594 </v>
      </c>
      <c r="B40" s="17" t="str">
        <f t="shared" si="1"/>
        <v>I</v>
      </c>
      <c r="C40" s="12">
        <f t="shared" si="2"/>
        <v>33891.425000000003</v>
      </c>
      <c r="D40" s="15" t="str">
        <f t="shared" si="3"/>
        <v>vis</v>
      </c>
      <c r="E40" s="40">
        <f>VLOOKUP(C40,Active!C$21:E$973,3,FALSE)</f>
        <v>-3031.0042188678535</v>
      </c>
      <c r="F40" s="17" t="s">
        <v>63</v>
      </c>
      <c r="G40" s="15" t="str">
        <f t="shared" si="4"/>
        <v>33891.425</v>
      </c>
      <c r="H40" s="12">
        <f t="shared" si="5"/>
        <v>-3031</v>
      </c>
      <c r="I40" s="41" t="s">
        <v>126</v>
      </c>
      <c r="J40" s="42" t="s">
        <v>127</v>
      </c>
      <c r="K40" s="41">
        <v>-3031</v>
      </c>
      <c r="L40" s="41" t="s">
        <v>128</v>
      </c>
      <c r="M40" s="42" t="s">
        <v>68</v>
      </c>
      <c r="N40" s="42"/>
      <c r="O40" s="43" t="s">
        <v>77</v>
      </c>
      <c r="P40" s="43" t="s">
        <v>78</v>
      </c>
    </row>
    <row r="41" spans="1:16" ht="12.75" customHeight="1" thickBot="1">
      <c r="A41" s="12" t="str">
        <f t="shared" si="0"/>
        <v> MVS 594 </v>
      </c>
      <c r="B41" s="17" t="str">
        <f t="shared" si="1"/>
        <v>I</v>
      </c>
      <c r="C41" s="12">
        <f t="shared" si="2"/>
        <v>34295.288</v>
      </c>
      <c r="D41" s="15" t="str">
        <f t="shared" si="3"/>
        <v>vis</v>
      </c>
      <c r="E41" s="40">
        <f>VLOOKUP(C41,Active!C$21:E$973,3,FALSE)</f>
        <v>-2873.0067570739593</v>
      </c>
      <c r="F41" s="17" t="s">
        <v>63</v>
      </c>
      <c r="G41" s="15" t="str">
        <f t="shared" si="4"/>
        <v>34295.288</v>
      </c>
      <c r="H41" s="12">
        <f t="shared" si="5"/>
        <v>-2873</v>
      </c>
      <c r="I41" s="41" t="s">
        <v>129</v>
      </c>
      <c r="J41" s="42" t="s">
        <v>130</v>
      </c>
      <c r="K41" s="41">
        <v>-2873</v>
      </c>
      <c r="L41" s="41" t="s">
        <v>131</v>
      </c>
      <c r="M41" s="42" t="s">
        <v>68</v>
      </c>
      <c r="N41" s="42"/>
      <c r="O41" s="43" t="s">
        <v>77</v>
      </c>
      <c r="P41" s="43" t="s">
        <v>78</v>
      </c>
    </row>
    <row r="42" spans="1:16" ht="12.75" customHeight="1" thickBot="1">
      <c r="A42" s="12" t="str">
        <f t="shared" si="0"/>
        <v> VB 5.14 </v>
      </c>
      <c r="B42" s="17" t="str">
        <f t="shared" si="1"/>
        <v>I</v>
      </c>
      <c r="C42" s="12">
        <f t="shared" si="2"/>
        <v>34599.476999999999</v>
      </c>
      <c r="D42" s="15" t="str">
        <f t="shared" si="3"/>
        <v>vis</v>
      </c>
      <c r="E42" s="40">
        <f>VLOOKUP(C42,Active!C$21:E$973,3,FALSE)</f>
        <v>-2754.0033081181923</v>
      </c>
      <c r="F42" s="17" t="s">
        <v>63</v>
      </c>
      <c r="G42" s="15" t="str">
        <f t="shared" si="4"/>
        <v>34599.477</v>
      </c>
      <c r="H42" s="12">
        <f t="shared" si="5"/>
        <v>-2754</v>
      </c>
      <c r="I42" s="41" t="s">
        <v>132</v>
      </c>
      <c r="J42" s="42" t="s">
        <v>133</v>
      </c>
      <c r="K42" s="41">
        <v>-2754</v>
      </c>
      <c r="L42" s="41" t="s">
        <v>99</v>
      </c>
      <c r="M42" s="42" t="s">
        <v>68</v>
      </c>
      <c r="N42" s="42"/>
      <c r="O42" s="43" t="s">
        <v>69</v>
      </c>
      <c r="P42" s="43" t="s">
        <v>70</v>
      </c>
    </row>
    <row r="43" spans="1:16" ht="12.75" customHeight="1" thickBot="1">
      <c r="A43" s="12" t="str">
        <f t="shared" ref="A43:A68" si="6">P43</f>
        <v> MVS 594 </v>
      </c>
      <c r="B43" s="17" t="str">
        <f t="shared" ref="B43:B68" si="7">IF(H43=INT(H43),"I","II")</f>
        <v>I</v>
      </c>
      <c r="C43" s="12">
        <f t="shared" ref="C43:C68" si="8">1*G43</f>
        <v>34663.404999999999</v>
      </c>
      <c r="D43" s="15" t="str">
        <f t="shared" ref="D43:D68" si="9">VLOOKUP(F43,I$1:J$5,2,FALSE)</f>
        <v>vis</v>
      </c>
      <c r="E43" s="40">
        <f>VLOOKUP(C43,Active!C$21:E$973,3,FALSE)</f>
        <v>-2728.9936842171169</v>
      </c>
      <c r="F43" s="17" t="s">
        <v>63</v>
      </c>
      <c r="G43" s="15" t="str">
        <f t="shared" ref="G43:G68" si="10">MID(I43,3,LEN(I43)-3)</f>
        <v>34663.405</v>
      </c>
      <c r="H43" s="12">
        <f t="shared" ref="H43:H68" si="11">1*K43</f>
        <v>-2729</v>
      </c>
      <c r="I43" s="41" t="s">
        <v>134</v>
      </c>
      <c r="J43" s="42" t="s">
        <v>135</v>
      </c>
      <c r="K43" s="41">
        <v>-2729</v>
      </c>
      <c r="L43" s="41" t="s">
        <v>136</v>
      </c>
      <c r="M43" s="42" t="s">
        <v>68</v>
      </c>
      <c r="N43" s="42"/>
      <c r="O43" s="43" t="s">
        <v>77</v>
      </c>
      <c r="P43" s="43" t="s">
        <v>78</v>
      </c>
    </row>
    <row r="44" spans="1:16" ht="12.75" customHeight="1" thickBot="1">
      <c r="A44" s="12" t="str">
        <f t="shared" si="6"/>
        <v> MVS 594 </v>
      </c>
      <c r="B44" s="17" t="str">
        <f t="shared" si="7"/>
        <v>I</v>
      </c>
      <c r="C44" s="12">
        <f t="shared" si="8"/>
        <v>35302.463000000003</v>
      </c>
      <c r="D44" s="15" t="str">
        <f t="shared" si="9"/>
        <v>vis</v>
      </c>
      <c r="E44" s="40">
        <f>VLOOKUP(C44,Active!C$21:E$973,3,FALSE)</f>
        <v>-2478.984295045334</v>
      </c>
      <c r="F44" s="17" t="s">
        <v>63</v>
      </c>
      <c r="G44" s="15" t="str">
        <f t="shared" si="10"/>
        <v>35302.463</v>
      </c>
      <c r="H44" s="12">
        <f t="shared" si="11"/>
        <v>-2479</v>
      </c>
      <c r="I44" s="41" t="s">
        <v>137</v>
      </c>
      <c r="J44" s="42" t="s">
        <v>138</v>
      </c>
      <c r="K44" s="41">
        <v>-2479</v>
      </c>
      <c r="L44" s="41" t="s">
        <v>76</v>
      </c>
      <c r="M44" s="42" t="s">
        <v>68</v>
      </c>
      <c r="N44" s="42"/>
      <c r="O44" s="43" t="s">
        <v>77</v>
      </c>
      <c r="P44" s="43" t="s">
        <v>78</v>
      </c>
    </row>
    <row r="45" spans="1:16" ht="12.75" customHeight="1" thickBot="1">
      <c r="A45" s="12" t="str">
        <f t="shared" si="6"/>
        <v> MVS 594 </v>
      </c>
      <c r="B45" s="17" t="str">
        <f t="shared" si="7"/>
        <v>I</v>
      </c>
      <c r="C45" s="12">
        <f t="shared" si="8"/>
        <v>35371.411</v>
      </c>
      <c r="D45" s="15" t="str">
        <f t="shared" si="9"/>
        <v>vis</v>
      </c>
      <c r="E45" s="40">
        <f>VLOOKUP(C45,Active!C$21:E$973,3,FALSE)</f>
        <v>-2452.0107693800342</v>
      </c>
      <c r="F45" s="17" t="s">
        <v>63</v>
      </c>
      <c r="G45" s="15" t="str">
        <f t="shared" si="10"/>
        <v>35371.411</v>
      </c>
      <c r="H45" s="12">
        <f t="shared" si="11"/>
        <v>-2452</v>
      </c>
      <c r="I45" s="41" t="s">
        <v>139</v>
      </c>
      <c r="J45" s="42" t="s">
        <v>140</v>
      </c>
      <c r="K45" s="41">
        <v>-2452</v>
      </c>
      <c r="L45" s="41" t="s">
        <v>141</v>
      </c>
      <c r="M45" s="42" t="s">
        <v>68</v>
      </c>
      <c r="N45" s="42"/>
      <c r="O45" s="43" t="s">
        <v>77</v>
      </c>
      <c r="P45" s="43" t="s">
        <v>78</v>
      </c>
    </row>
    <row r="46" spans="1:16" ht="12.75" customHeight="1" thickBot="1">
      <c r="A46" s="12" t="str">
        <f t="shared" si="6"/>
        <v> MVS 594 </v>
      </c>
      <c r="B46" s="17" t="str">
        <f t="shared" si="7"/>
        <v>I</v>
      </c>
      <c r="C46" s="12">
        <f t="shared" si="8"/>
        <v>36764.531000000003</v>
      </c>
      <c r="D46" s="15" t="str">
        <f t="shared" si="9"/>
        <v>vis</v>
      </c>
      <c r="E46" s="40">
        <f>VLOOKUP(C46,Active!C$21:E$973,3,FALSE)</f>
        <v>-1907.000644723129</v>
      </c>
      <c r="F46" s="17" t="s">
        <v>63</v>
      </c>
      <c r="G46" s="15" t="str">
        <f t="shared" si="10"/>
        <v>36764.531</v>
      </c>
      <c r="H46" s="12">
        <f t="shared" si="11"/>
        <v>-1907</v>
      </c>
      <c r="I46" s="41" t="s">
        <v>142</v>
      </c>
      <c r="J46" s="42" t="s">
        <v>143</v>
      </c>
      <c r="K46" s="41">
        <v>-1907</v>
      </c>
      <c r="L46" s="41" t="s">
        <v>144</v>
      </c>
      <c r="M46" s="42" t="s">
        <v>68</v>
      </c>
      <c r="N46" s="42"/>
      <c r="O46" s="43" t="s">
        <v>77</v>
      </c>
      <c r="P46" s="43" t="s">
        <v>78</v>
      </c>
    </row>
    <row r="47" spans="1:16" ht="12.75" customHeight="1" thickBot="1">
      <c r="A47" s="12" t="str">
        <f t="shared" si="6"/>
        <v> VB 5.14 </v>
      </c>
      <c r="B47" s="17" t="str">
        <f t="shared" si="7"/>
        <v>I</v>
      </c>
      <c r="C47" s="12">
        <f t="shared" si="8"/>
        <v>36846.324999999997</v>
      </c>
      <c r="D47" s="15" t="str">
        <f t="shared" si="9"/>
        <v>vis</v>
      </c>
      <c r="E47" s="40">
        <f>VLOOKUP(C47,Active!C$21:E$973,3,FALSE)</f>
        <v>-1875.0015648619658</v>
      </c>
      <c r="F47" s="17" t="s">
        <v>63</v>
      </c>
      <c r="G47" s="15" t="str">
        <f t="shared" si="10"/>
        <v>36846.325</v>
      </c>
      <c r="H47" s="12">
        <f t="shared" si="11"/>
        <v>-1875</v>
      </c>
      <c r="I47" s="41" t="s">
        <v>145</v>
      </c>
      <c r="J47" s="42" t="s">
        <v>146</v>
      </c>
      <c r="K47" s="41">
        <v>-1875</v>
      </c>
      <c r="L47" s="41" t="s">
        <v>147</v>
      </c>
      <c r="M47" s="42" t="s">
        <v>68</v>
      </c>
      <c r="N47" s="42"/>
      <c r="O47" s="43" t="s">
        <v>69</v>
      </c>
      <c r="P47" s="43" t="s">
        <v>70</v>
      </c>
    </row>
    <row r="48" spans="1:16" ht="12.75" customHeight="1" thickBot="1">
      <c r="A48" s="12" t="str">
        <f t="shared" si="6"/>
        <v> VB 5.14 </v>
      </c>
      <c r="B48" s="17" t="str">
        <f t="shared" si="7"/>
        <v>I</v>
      </c>
      <c r="C48" s="12">
        <f t="shared" si="8"/>
        <v>36846.351000000002</v>
      </c>
      <c r="D48" s="15" t="str">
        <f t="shared" si="9"/>
        <v>vis</v>
      </c>
      <c r="E48" s="40">
        <f>VLOOKUP(C48,Active!C$21:E$973,3,FALSE)</f>
        <v>-1874.9913932592008</v>
      </c>
      <c r="F48" s="17" t="s">
        <v>63</v>
      </c>
      <c r="G48" s="15" t="str">
        <f t="shared" si="10"/>
        <v>36846.351</v>
      </c>
      <c r="H48" s="12">
        <f t="shared" si="11"/>
        <v>-1875</v>
      </c>
      <c r="I48" s="41" t="s">
        <v>148</v>
      </c>
      <c r="J48" s="42" t="s">
        <v>149</v>
      </c>
      <c r="K48" s="41">
        <v>-1875</v>
      </c>
      <c r="L48" s="41" t="s">
        <v>150</v>
      </c>
      <c r="M48" s="42" t="s">
        <v>68</v>
      </c>
      <c r="N48" s="42"/>
      <c r="O48" s="43" t="s">
        <v>69</v>
      </c>
      <c r="P48" s="43" t="s">
        <v>70</v>
      </c>
    </row>
    <row r="49" spans="1:16" ht="12.75" customHeight="1" thickBot="1">
      <c r="A49" s="12" t="str">
        <f t="shared" si="6"/>
        <v> MVS 594 </v>
      </c>
      <c r="B49" s="17" t="str">
        <f t="shared" si="7"/>
        <v>I</v>
      </c>
      <c r="C49" s="12">
        <f t="shared" si="8"/>
        <v>36846.374000000003</v>
      </c>
      <c r="D49" s="15" t="str">
        <f t="shared" si="9"/>
        <v>vis</v>
      </c>
      <c r="E49" s="40">
        <f>VLOOKUP(C49,Active!C$21:E$973,3,FALSE)</f>
        <v>-1874.9823953029099</v>
      </c>
      <c r="F49" s="17" t="s">
        <v>63</v>
      </c>
      <c r="G49" s="15" t="str">
        <f t="shared" si="10"/>
        <v>36846.374</v>
      </c>
      <c r="H49" s="12">
        <f t="shared" si="11"/>
        <v>-1875</v>
      </c>
      <c r="I49" s="41" t="s">
        <v>151</v>
      </c>
      <c r="J49" s="42" t="s">
        <v>152</v>
      </c>
      <c r="K49" s="41">
        <v>-1875</v>
      </c>
      <c r="L49" s="41" t="s">
        <v>153</v>
      </c>
      <c r="M49" s="42" t="s">
        <v>68</v>
      </c>
      <c r="N49" s="42"/>
      <c r="O49" s="43" t="s">
        <v>77</v>
      </c>
      <c r="P49" s="43" t="s">
        <v>78</v>
      </c>
    </row>
    <row r="50" spans="1:16" ht="12.75" customHeight="1" thickBot="1">
      <c r="A50" s="12" t="str">
        <f t="shared" si="6"/>
        <v> MVS 594 </v>
      </c>
      <c r="B50" s="17" t="str">
        <f t="shared" si="7"/>
        <v>I</v>
      </c>
      <c r="C50" s="12">
        <f t="shared" si="8"/>
        <v>36851.427000000003</v>
      </c>
      <c r="D50" s="15" t="str">
        <f t="shared" si="9"/>
        <v>vis</v>
      </c>
      <c r="E50" s="40">
        <f>VLOOKUP(C50,Active!C$21:E$973,3,FALSE)</f>
        <v>-1873.0055834274856</v>
      </c>
      <c r="F50" s="17" t="s">
        <v>63</v>
      </c>
      <c r="G50" s="15" t="str">
        <f t="shared" si="10"/>
        <v>36851.427</v>
      </c>
      <c r="H50" s="12">
        <f t="shared" si="11"/>
        <v>-1873</v>
      </c>
      <c r="I50" s="41" t="s">
        <v>154</v>
      </c>
      <c r="J50" s="42" t="s">
        <v>155</v>
      </c>
      <c r="K50" s="41">
        <v>-1873</v>
      </c>
      <c r="L50" s="41" t="s">
        <v>156</v>
      </c>
      <c r="M50" s="42" t="s">
        <v>68</v>
      </c>
      <c r="N50" s="42"/>
      <c r="O50" s="43" t="s">
        <v>77</v>
      </c>
      <c r="P50" s="43" t="s">
        <v>78</v>
      </c>
    </row>
    <row r="51" spans="1:16" ht="12.75" customHeight="1" thickBot="1">
      <c r="A51" s="12" t="str">
        <f t="shared" si="6"/>
        <v> VB 5.14 </v>
      </c>
      <c r="B51" s="17" t="str">
        <f t="shared" si="7"/>
        <v>I</v>
      </c>
      <c r="C51" s="12">
        <f t="shared" si="8"/>
        <v>37191.406000000003</v>
      </c>
      <c r="D51" s="15" t="str">
        <f t="shared" si="9"/>
        <v>vis</v>
      </c>
      <c r="E51" s="40">
        <f>VLOOKUP(C51,Active!C$21:E$973,3,FALSE)</f>
        <v>-1740.0005320530677</v>
      </c>
      <c r="F51" s="17" t="s">
        <v>63</v>
      </c>
      <c r="G51" s="15" t="str">
        <f t="shared" si="10"/>
        <v>37191.406</v>
      </c>
      <c r="H51" s="12">
        <f t="shared" si="11"/>
        <v>-1740</v>
      </c>
      <c r="I51" s="41" t="s">
        <v>157</v>
      </c>
      <c r="J51" s="42" t="s">
        <v>158</v>
      </c>
      <c r="K51" s="41">
        <v>-1740</v>
      </c>
      <c r="L51" s="41" t="s">
        <v>159</v>
      </c>
      <c r="M51" s="42" t="s">
        <v>68</v>
      </c>
      <c r="N51" s="42"/>
      <c r="O51" s="43" t="s">
        <v>69</v>
      </c>
      <c r="P51" s="43" t="s">
        <v>70</v>
      </c>
    </row>
    <row r="52" spans="1:16" ht="12.75" customHeight="1" thickBot="1">
      <c r="A52" s="12" t="str">
        <f t="shared" si="6"/>
        <v> ASS 134.179 </v>
      </c>
      <c r="B52" s="17" t="str">
        <f t="shared" si="7"/>
        <v>I</v>
      </c>
      <c r="C52" s="12">
        <f t="shared" si="8"/>
        <v>41603.284</v>
      </c>
      <c r="D52" s="15" t="str">
        <f t="shared" si="9"/>
        <v>vis</v>
      </c>
      <c r="E52" s="40">
        <f>VLOOKUP(C52,Active!C$21:E$973,3,FALSE)</f>
        <v>-14.005514573560605</v>
      </c>
      <c r="F52" s="17" t="s">
        <v>63</v>
      </c>
      <c r="G52" s="15" t="str">
        <f t="shared" si="10"/>
        <v>41603.284</v>
      </c>
      <c r="H52" s="12">
        <f t="shared" si="11"/>
        <v>-14</v>
      </c>
      <c r="I52" s="41" t="s">
        <v>160</v>
      </c>
      <c r="J52" s="42" t="s">
        <v>161</v>
      </c>
      <c r="K52" s="41">
        <v>-14</v>
      </c>
      <c r="L52" s="41" t="s">
        <v>156</v>
      </c>
      <c r="M52" s="42" t="s">
        <v>162</v>
      </c>
      <c r="N52" s="42" t="s">
        <v>163</v>
      </c>
      <c r="O52" s="43" t="s">
        <v>164</v>
      </c>
      <c r="P52" s="43" t="s">
        <v>165</v>
      </c>
    </row>
    <row r="53" spans="1:16" ht="12.75" customHeight="1" thickBot="1">
      <c r="A53" s="12" t="str">
        <f t="shared" si="6"/>
        <v> ASS 134.179 </v>
      </c>
      <c r="B53" s="17" t="str">
        <f t="shared" si="7"/>
        <v>I</v>
      </c>
      <c r="C53" s="12">
        <f t="shared" si="8"/>
        <v>41616.106</v>
      </c>
      <c r="D53" s="15" t="str">
        <f t="shared" si="9"/>
        <v>vis</v>
      </c>
      <c r="E53" s="40">
        <f>VLOOKUP(C53,Active!C$21:E$973,3,FALSE)</f>
        <v>-8.9893495494773337</v>
      </c>
      <c r="F53" s="17" t="s">
        <v>63</v>
      </c>
      <c r="G53" s="15" t="str">
        <f t="shared" si="10"/>
        <v>41616.106</v>
      </c>
      <c r="H53" s="12">
        <f t="shared" si="11"/>
        <v>-9</v>
      </c>
      <c r="I53" s="41" t="s">
        <v>166</v>
      </c>
      <c r="J53" s="42" t="s">
        <v>167</v>
      </c>
      <c r="K53" s="41">
        <v>-9</v>
      </c>
      <c r="L53" s="41" t="s">
        <v>168</v>
      </c>
      <c r="M53" s="42" t="s">
        <v>162</v>
      </c>
      <c r="N53" s="42" t="s">
        <v>163</v>
      </c>
      <c r="O53" s="43" t="s">
        <v>164</v>
      </c>
      <c r="P53" s="43" t="s">
        <v>165</v>
      </c>
    </row>
    <row r="54" spans="1:16" ht="12.75" customHeight="1" thickBot="1">
      <c r="A54" s="12" t="str">
        <f t="shared" si="6"/>
        <v> ASS 134.179 </v>
      </c>
      <c r="B54" s="17" t="str">
        <f t="shared" si="7"/>
        <v>I</v>
      </c>
      <c r="C54" s="12">
        <f t="shared" si="8"/>
        <v>41621.197999999997</v>
      </c>
      <c r="D54" s="15" t="str">
        <f t="shared" si="9"/>
        <v>vis</v>
      </c>
      <c r="E54" s="40">
        <f>VLOOKUP(C54,Active!C$21:E$973,3,FALSE)</f>
        <v>-6.9972802699096919</v>
      </c>
      <c r="F54" s="17" t="s">
        <v>63</v>
      </c>
      <c r="G54" s="15" t="str">
        <f t="shared" si="10"/>
        <v>41621.198</v>
      </c>
      <c r="H54" s="12">
        <f t="shared" si="11"/>
        <v>-7</v>
      </c>
      <c r="I54" s="41" t="s">
        <v>169</v>
      </c>
      <c r="J54" s="42" t="s">
        <v>170</v>
      </c>
      <c r="K54" s="41">
        <v>-7</v>
      </c>
      <c r="L54" s="41" t="s">
        <v>171</v>
      </c>
      <c r="M54" s="42" t="s">
        <v>162</v>
      </c>
      <c r="N54" s="42" t="s">
        <v>163</v>
      </c>
      <c r="O54" s="43" t="s">
        <v>164</v>
      </c>
      <c r="P54" s="43" t="s">
        <v>165</v>
      </c>
    </row>
    <row r="55" spans="1:16" ht="12.75" customHeight="1" thickBot="1">
      <c r="A55" s="12" t="str">
        <f t="shared" si="6"/>
        <v> ASS 134.179 </v>
      </c>
      <c r="B55" s="17" t="str">
        <f t="shared" si="7"/>
        <v>II</v>
      </c>
      <c r="C55" s="12">
        <f t="shared" si="8"/>
        <v>41630.144999999997</v>
      </c>
      <c r="D55" s="15" t="str">
        <f t="shared" si="9"/>
        <v>vis</v>
      </c>
      <c r="E55" s="40">
        <f>VLOOKUP(C55,Active!C$21:E$973,3,FALSE)</f>
        <v>-3.4970752729924239</v>
      </c>
      <c r="F55" s="17" t="s">
        <v>63</v>
      </c>
      <c r="G55" s="15" t="str">
        <f t="shared" si="10"/>
        <v>41630.145</v>
      </c>
      <c r="H55" s="12">
        <f t="shared" si="11"/>
        <v>-3.5</v>
      </c>
      <c r="I55" s="41" t="s">
        <v>172</v>
      </c>
      <c r="J55" s="42" t="s">
        <v>173</v>
      </c>
      <c r="K55" s="41">
        <v>-3.5</v>
      </c>
      <c r="L55" s="41" t="s">
        <v>171</v>
      </c>
      <c r="M55" s="42" t="s">
        <v>162</v>
      </c>
      <c r="N55" s="42" t="s">
        <v>163</v>
      </c>
      <c r="O55" s="43" t="s">
        <v>164</v>
      </c>
      <c r="P55" s="43" t="s">
        <v>165</v>
      </c>
    </row>
    <row r="56" spans="1:16" ht="12.75" customHeight="1" thickBot="1">
      <c r="A56" s="12" t="str">
        <f t="shared" si="6"/>
        <v> ASS 134.179 </v>
      </c>
      <c r="B56" s="17" t="str">
        <f t="shared" si="7"/>
        <v>II</v>
      </c>
      <c r="C56" s="12">
        <f t="shared" si="8"/>
        <v>41653.142999999996</v>
      </c>
      <c r="D56" s="15" t="str">
        <f t="shared" si="9"/>
        <v>vis</v>
      </c>
      <c r="E56" s="40">
        <f>VLOOKUP(C56,Active!C$21:E$973,3,FALSE)</f>
        <v>5.5000985863012888</v>
      </c>
      <c r="F56" s="17" t="s">
        <v>63</v>
      </c>
      <c r="G56" s="15" t="str">
        <f t="shared" si="10"/>
        <v>41653.143</v>
      </c>
      <c r="H56" s="12">
        <f t="shared" si="11"/>
        <v>5.5</v>
      </c>
      <c r="I56" s="41" t="s">
        <v>176</v>
      </c>
      <c r="J56" s="42" t="s">
        <v>177</v>
      </c>
      <c r="K56" s="41">
        <v>5.5</v>
      </c>
      <c r="L56" s="41" t="s">
        <v>122</v>
      </c>
      <c r="M56" s="42" t="s">
        <v>162</v>
      </c>
      <c r="N56" s="42" t="s">
        <v>163</v>
      </c>
      <c r="O56" s="43" t="s">
        <v>164</v>
      </c>
      <c r="P56" s="43" t="s">
        <v>165</v>
      </c>
    </row>
    <row r="57" spans="1:16" ht="12.75" customHeight="1" thickBot="1">
      <c r="A57" s="12" t="str">
        <f t="shared" si="6"/>
        <v> BBS 57 </v>
      </c>
      <c r="B57" s="17" t="str">
        <f t="shared" si="7"/>
        <v>I</v>
      </c>
      <c r="C57" s="12">
        <f t="shared" si="8"/>
        <v>44885.379000000001</v>
      </c>
      <c r="D57" s="15" t="str">
        <f t="shared" si="9"/>
        <v>vis</v>
      </c>
      <c r="E57" s="40">
        <f>VLOOKUP(C57,Active!C$21:E$973,3,FALSE)</f>
        <v>1270.0008919713187</v>
      </c>
      <c r="F57" s="17" t="s">
        <v>63</v>
      </c>
      <c r="G57" s="15" t="str">
        <f t="shared" si="10"/>
        <v>44885.379</v>
      </c>
      <c r="H57" s="12">
        <f t="shared" si="11"/>
        <v>1270</v>
      </c>
      <c r="I57" s="41" t="s">
        <v>178</v>
      </c>
      <c r="J57" s="42" t="s">
        <v>179</v>
      </c>
      <c r="K57" s="41">
        <v>1270</v>
      </c>
      <c r="L57" s="41" t="s">
        <v>102</v>
      </c>
      <c r="M57" s="42" t="s">
        <v>162</v>
      </c>
      <c r="N57" s="42" t="s">
        <v>163</v>
      </c>
      <c r="O57" s="43" t="s">
        <v>180</v>
      </c>
      <c r="P57" s="43" t="s">
        <v>181</v>
      </c>
    </row>
    <row r="58" spans="1:16" ht="12.75" customHeight="1" thickBot="1">
      <c r="A58" s="12" t="str">
        <f t="shared" si="6"/>
        <v>BAVM 39 </v>
      </c>
      <c r="B58" s="17" t="str">
        <f t="shared" si="7"/>
        <v>I</v>
      </c>
      <c r="C58" s="12">
        <f t="shared" si="8"/>
        <v>45933.398999999998</v>
      </c>
      <c r="D58" s="15" t="str">
        <f t="shared" si="9"/>
        <v>vis</v>
      </c>
      <c r="E58" s="40">
        <f>VLOOKUP(C58,Active!C$21:E$973,3,FALSE)</f>
        <v>1680.0025507249986</v>
      </c>
      <c r="F58" s="17" t="s">
        <v>63</v>
      </c>
      <c r="G58" s="15" t="str">
        <f t="shared" si="10"/>
        <v>45933.399</v>
      </c>
      <c r="H58" s="12">
        <f t="shared" si="11"/>
        <v>1680</v>
      </c>
      <c r="I58" s="41" t="s">
        <v>185</v>
      </c>
      <c r="J58" s="42" t="s">
        <v>186</v>
      </c>
      <c r="K58" s="41">
        <v>1680</v>
      </c>
      <c r="L58" s="41" t="s">
        <v>171</v>
      </c>
      <c r="M58" s="42" t="s">
        <v>187</v>
      </c>
      <c r="N58" s="42"/>
      <c r="O58" s="43" t="s">
        <v>188</v>
      </c>
      <c r="P58" s="44" t="s">
        <v>189</v>
      </c>
    </row>
    <row r="59" spans="1:16" ht="12.75" customHeight="1" thickBot="1">
      <c r="A59" s="12" t="str">
        <f t="shared" si="6"/>
        <v> VSSC 70.21 </v>
      </c>
      <c r="B59" s="17" t="str">
        <f t="shared" si="7"/>
        <v>I</v>
      </c>
      <c r="C59" s="12">
        <f t="shared" si="8"/>
        <v>47114.336000000003</v>
      </c>
      <c r="D59" s="15" t="str">
        <f t="shared" si="9"/>
        <v>vis</v>
      </c>
      <c r="E59" s="40">
        <f>VLOOKUP(C59,Active!C$21:E$973,3,FALSE)</f>
        <v>2142.0033988801852</v>
      </c>
      <c r="F59" s="17" t="s">
        <v>63</v>
      </c>
      <c r="G59" s="15" t="str">
        <f t="shared" si="10"/>
        <v>47114.3360</v>
      </c>
      <c r="H59" s="12">
        <f t="shared" si="11"/>
        <v>2142</v>
      </c>
      <c r="I59" s="41" t="s">
        <v>190</v>
      </c>
      <c r="J59" s="42" t="s">
        <v>191</v>
      </c>
      <c r="K59" s="41">
        <v>2142</v>
      </c>
      <c r="L59" s="41" t="s">
        <v>192</v>
      </c>
      <c r="M59" s="42" t="s">
        <v>162</v>
      </c>
      <c r="N59" s="42" t="s">
        <v>163</v>
      </c>
      <c r="O59" s="43" t="s">
        <v>193</v>
      </c>
      <c r="P59" s="43" t="s">
        <v>194</v>
      </c>
    </row>
    <row r="60" spans="1:16" ht="12.75" customHeight="1" thickBot="1">
      <c r="A60" s="12" t="str">
        <f t="shared" si="6"/>
        <v>BAVM 56 </v>
      </c>
      <c r="B60" s="17" t="str">
        <f t="shared" si="7"/>
        <v>I</v>
      </c>
      <c r="C60" s="12">
        <f t="shared" si="8"/>
        <v>47863.281499999997</v>
      </c>
      <c r="D60" s="15" t="str">
        <f t="shared" si="9"/>
        <v>vis</v>
      </c>
      <c r="E60" s="40">
        <f>VLOOKUP(C60,Active!C$21:E$973,3,FALSE)</f>
        <v>2435.0024803062101</v>
      </c>
      <c r="F60" s="17" t="s">
        <v>63</v>
      </c>
      <c r="G60" s="15" t="str">
        <f t="shared" si="10"/>
        <v>47863.2815</v>
      </c>
      <c r="H60" s="12">
        <f t="shared" si="11"/>
        <v>2435</v>
      </c>
      <c r="I60" s="41" t="s">
        <v>195</v>
      </c>
      <c r="J60" s="42" t="s">
        <v>196</v>
      </c>
      <c r="K60" s="41">
        <v>2435</v>
      </c>
      <c r="L60" s="41" t="s">
        <v>197</v>
      </c>
      <c r="M60" s="42" t="s">
        <v>162</v>
      </c>
      <c r="N60" s="42" t="s">
        <v>198</v>
      </c>
      <c r="O60" s="43" t="s">
        <v>199</v>
      </c>
      <c r="P60" s="44" t="s">
        <v>200</v>
      </c>
    </row>
    <row r="61" spans="1:16" ht="12.75" customHeight="1" thickBot="1">
      <c r="A61" s="12" t="str">
        <f t="shared" si="6"/>
        <v>BAVM 60 </v>
      </c>
      <c r="B61" s="17" t="str">
        <f t="shared" si="7"/>
        <v>I</v>
      </c>
      <c r="C61" s="12">
        <f t="shared" si="8"/>
        <v>48571.324000000001</v>
      </c>
      <c r="D61" s="15" t="str">
        <f t="shared" si="9"/>
        <v>vis</v>
      </c>
      <c r="E61" s="40">
        <f>VLOOKUP(C61,Active!C$21:E$973,3,FALSE)</f>
        <v>2711.999674508711</v>
      </c>
      <c r="F61" s="17" t="s">
        <v>63</v>
      </c>
      <c r="G61" s="15" t="str">
        <f t="shared" si="10"/>
        <v>48571.324</v>
      </c>
      <c r="H61" s="12">
        <f t="shared" si="11"/>
        <v>2712</v>
      </c>
      <c r="I61" s="41" t="s">
        <v>206</v>
      </c>
      <c r="J61" s="42" t="s">
        <v>207</v>
      </c>
      <c r="K61" s="41">
        <v>2712</v>
      </c>
      <c r="L61" s="41" t="s">
        <v>159</v>
      </c>
      <c r="M61" s="42" t="s">
        <v>187</v>
      </c>
      <c r="N61" s="42"/>
      <c r="O61" s="43" t="s">
        <v>208</v>
      </c>
      <c r="P61" s="44" t="s">
        <v>209</v>
      </c>
    </row>
    <row r="62" spans="1:16" ht="12.75" customHeight="1" thickBot="1">
      <c r="A62" s="12" t="str">
        <f t="shared" si="6"/>
        <v>BAVM 62 </v>
      </c>
      <c r="B62" s="17" t="str">
        <f t="shared" si="7"/>
        <v>I</v>
      </c>
      <c r="C62" s="12">
        <f t="shared" si="8"/>
        <v>48893.406999999999</v>
      </c>
      <c r="D62" s="15" t="str">
        <f t="shared" si="9"/>
        <v>vis</v>
      </c>
      <c r="E62" s="40">
        <f>VLOOKUP(C62,Active!C$21:E$973,3,FALSE)</f>
        <v>2838.0035334583122</v>
      </c>
      <c r="F62" s="17" t="s">
        <v>63</v>
      </c>
      <c r="G62" s="15" t="str">
        <f t="shared" si="10"/>
        <v>48893.407</v>
      </c>
      <c r="H62" s="12">
        <f t="shared" si="11"/>
        <v>2838</v>
      </c>
      <c r="I62" s="41" t="s">
        <v>210</v>
      </c>
      <c r="J62" s="42" t="s">
        <v>211</v>
      </c>
      <c r="K62" s="41">
        <v>2838</v>
      </c>
      <c r="L62" s="41" t="s">
        <v>212</v>
      </c>
      <c r="M62" s="42" t="s">
        <v>187</v>
      </c>
      <c r="N62" s="42"/>
      <c r="O62" s="43" t="s">
        <v>208</v>
      </c>
      <c r="P62" s="44" t="s">
        <v>213</v>
      </c>
    </row>
    <row r="63" spans="1:16" ht="12.75" customHeight="1" thickBot="1">
      <c r="A63" s="12" t="str">
        <f t="shared" si="6"/>
        <v> BBS 103 </v>
      </c>
      <c r="B63" s="17" t="str">
        <f t="shared" si="7"/>
        <v>I</v>
      </c>
      <c r="C63" s="12">
        <f t="shared" si="8"/>
        <v>48934.297299999998</v>
      </c>
      <c r="D63" s="15" t="str">
        <f t="shared" si="9"/>
        <v>vis</v>
      </c>
      <c r="E63" s="40">
        <f>VLOOKUP(C63,Active!C$21:E$973,3,FALSE)</f>
        <v>2854.0004522451059</v>
      </c>
      <c r="F63" s="17" t="s">
        <v>63</v>
      </c>
      <c r="G63" s="15" t="str">
        <f t="shared" si="10"/>
        <v>48934.2973</v>
      </c>
      <c r="H63" s="12">
        <f t="shared" si="11"/>
        <v>2854</v>
      </c>
      <c r="I63" s="41" t="s">
        <v>214</v>
      </c>
      <c r="J63" s="42" t="s">
        <v>215</v>
      </c>
      <c r="K63" s="41">
        <v>2854</v>
      </c>
      <c r="L63" s="41" t="s">
        <v>216</v>
      </c>
      <c r="M63" s="42" t="s">
        <v>162</v>
      </c>
      <c r="N63" s="42" t="s">
        <v>30</v>
      </c>
      <c r="O63" s="43" t="s">
        <v>217</v>
      </c>
      <c r="P63" s="43" t="s">
        <v>218</v>
      </c>
    </row>
    <row r="64" spans="1:16" ht="12.75" customHeight="1" thickBot="1">
      <c r="A64" s="12" t="str">
        <f t="shared" si="6"/>
        <v>VSB 40 </v>
      </c>
      <c r="B64" s="17" t="str">
        <f t="shared" si="7"/>
        <v>I</v>
      </c>
      <c r="C64" s="12">
        <f t="shared" si="8"/>
        <v>52587.020299999996</v>
      </c>
      <c r="D64" s="15" t="str">
        <f t="shared" si="9"/>
        <v>vis</v>
      </c>
      <c r="E64" s="40">
        <f>VLOOKUP(C64,Active!C$21:E$973,3,FALSE)</f>
        <v>4283.0022737444306</v>
      </c>
      <c r="F64" s="17" t="s">
        <v>63</v>
      </c>
      <c r="G64" s="15" t="str">
        <f t="shared" si="10"/>
        <v>52587.0203</v>
      </c>
      <c r="H64" s="12">
        <f t="shared" si="11"/>
        <v>4283</v>
      </c>
      <c r="I64" s="41" t="s">
        <v>230</v>
      </c>
      <c r="J64" s="42" t="s">
        <v>231</v>
      </c>
      <c r="K64" s="41" t="s">
        <v>232</v>
      </c>
      <c r="L64" s="41" t="s">
        <v>233</v>
      </c>
      <c r="M64" s="42" t="s">
        <v>162</v>
      </c>
      <c r="N64" s="42" t="s">
        <v>163</v>
      </c>
      <c r="O64" s="43" t="s">
        <v>234</v>
      </c>
      <c r="P64" s="44" t="s">
        <v>235</v>
      </c>
    </row>
    <row r="65" spans="1:16" ht="12.75" customHeight="1" thickBot="1">
      <c r="A65" s="12" t="str">
        <f t="shared" si="6"/>
        <v>BAVM 193 </v>
      </c>
      <c r="B65" s="17" t="str">
        <f t="shared" si="7"/>
        <v>I</v>
      </c>
      <c r="C65" s="12">
        <f t="shared" si="8"/>
        <v>54381.4274</v>
      </c>
      <c r="D65" s="15" t="str">
        <f t="shared" si="9"/>
        <v>vis</v>
      </c>
      <c r="E65" s="40">
        <f>VLOOKUP(C65,Active!C$21:E$973,3,FALSE)</f>
        <v>4985.0021282122698</v>
      </c>
      <c r="F65" s="17" t="s">
        <v>63</v>
      </c>
      <c r="G65" s="15" t="str">
        <f t="shared" si="10"/>
        <v>54381.4274</v>
      </c>
      <c r="H65" s="12">
        <f t="shared" si="11"/>
        <v>4985</v>
      </c>
      <c r="I65" s="41" t="s">
        <v>236</v>
      </c>
      <c r="J65" s="42" t="s">
        <v>237</v>
      </c>
      <c r="K65" s="41" t="s">
        <v>238</v>
      </c>
      <c r="L65" s="41" t="s">
        <v>203</v>
      </c>
      <c r="M65" s="42" t="s">
        <v>239</v>
      </c>
      <c r="N65" s="42" t="s">
        <v>63</v>
      </c>
      <c r="O65" s="43" t="s">
        <v>240</v>
      </c>
      <c r="P65" s="44" t="s">
        <v>241</v>
      </c>
    </row>
    <row r="66" spans="1:16" ht="12.75" customHeight="1" thickBot="1">
      <c r="A66" s="12" t="str">
        <f t="shared" si="6"/>
        <v>BAVM 212 </v>
      </c>
      <c r="B66" s="17" t="str">
        <f t="shared" si="7"/>
        <v>I</v>
      </c>
      <c r="C66" s="12">
        <f t="shared" si="8"/>
        <v>55084.3655</v>
      </c>
      <c r="D66" s="15" t="str">
        <f t="shared" si="9"/>
        <v>vis</v>
      </c>
      <c r="E66" s="40">
        <f>VLOOKUP(C66,Active!C$21:E$973,3,FALSE)</f>
        <v>5260.0024020631126</v>
      </c>
      <c r="F66" s="17" t="s">
        <v>63</v>
      </c>
      <c r="G66" s="15" t="str">
        <f t="shared" si="10"/>
        <v>55084.3655</v>
      </c>
      <c r="H66" s="12">
        <f t="shared" si="11"/>
        <v>5260</v>
      </c>
      <c r="I66" s="41" t="s">
        <v>242</v>
      </c>
      <c r="J66" s="42" t="s">
        <v>243</v>
      </c>
      <c r="K66" s="41" t="s">
        <v>244</v>
      </c>
      <c r="L66" s="41" t="s">
        <v>245</v>
      </c>
      <c r="M66" s="42" t="s">
        <v>239</v>
      </c>
      <c r="N66" s="42" t="s">
        <v>228</v>
      </c>
      <c r="O66" s="43" t="s">
        <v>246</v>
      </c>
      <c r="P66" s="44" t="s">
        <v>247</v>
      </c>
    </row>
    <row r="67" spans="1:16" ht="12.75" customHeight="1" thickBot="1">
      <c r="A67" s="12" t="str">
        <f t="shared" si="6"/>
        <v>BAVM 225 </v>
      </c>
      <c r="B67" s="17" t="str">
        <f t="shared" si="7"/>
        <v>I</v>
      </c>
      <c r="C67" s="12">
        <f t="shared" si="8"/>
        <v>55874.212599999999</v>
      </c>
      <c r="D67" s="15" t="str">
        <f t="shared" si="9"/>
        <v>vis</v>
      </c>
      <c r="E67" s="40">
        <f>VLOOKUP(C67,Active!C$21:E$973,3,FALSE)</f>
        <v>5569.002823010981</v>
      </c>
      <c r="F67" s="17" t="s">
        <v>63</v>
      </c>
      <c r="G67" s="15" t="str">
        <f t="shared" si="10"/>
        <v>55874.2126</v>
      </c>
      <c r="H67" s="12">
        <f t="shared" si="11"/>
        <v>5569</v>
      </c>
      <c r="I67" s="41" t="s">
        <v>253</v>
      </c>
      <c r="J67" s="42" t="s">
        <v>254</v>
      </c>
      <c r="K67" s="41" t="s">
        <v>255</v>
      </c>
      <c r="L67" s="41" t="s">
        <v>256</v>
      </c>
      <c r="M67" s="42" t="s">
        <v>239</v>
      </c>
      <c r="N67" s="42" t="s">
        <v>228</v>
      </c>
      <c r="O67" s="43" t="s">
        <v>257</v>
      </c>
      <c r="P67" s="44" t="s">
        <v>258</v>
      </c>
    </row>
    <row r="68" spans="1:16" ht="12.75" customHeight="1" thickBot="1">
      <c r="A68" s="12" t="str">
        <f t="shared" si="6"/>
        <v>BAVM 225 </v>
      </c>
      <c r="B68" s="17" t="str">
        <f t="shared" si="7"/>
        <v>I</v>
      </c>
      <c r="C68" s="12">
        <f t="shared" si="8"/>
        <v>55879.315300000002</v>
      </c>
      <c r="D68" s="15" t="str">
        <f t="shared" si="9"/>
        <v>vis</v>
      </c>
      <c r="E68" s="40">
        <f>VLOOKUP(C68,Active!C$21:E$973,3,FALSE)</f>
        <v>5570.9990782963032</v>
      </c>
      <c r="F68" s="17" t="s">
        <v>63</v>
      </c>
      <c r="G68" s="15" t="str">
        <f t="shared" si="10"/>
        <v>55879.3153</v>
      </c>
      <c r="H68" s="12">
        <f t="shared" si="11"/>
        <v>5571</v>
      </c>
      <c r="I68" s="41" t="s">
        <v>259</v>
      </c>
      <c r="J68" s="42" t="s">
        <v>260</v>
      </c>
      <c r="K68" s="41" t="s">
        <v>261</v>
      </c>
      <c r="L68" s="41" t="s">
        <v>262</v>
      </c>
      <c r="M68" s="42" t="s">
        <v>239</v>
      </c>
      <c r="N68" s="42" t="s">
        <v>222</v>
      </c>
      <c r="O68" s="43" t="s">
        <v>263</v>
      </c>
      <c r="P68" s="44" t="s">
        <v>258</v>
      </c>
    </row>
    <row r="69" spans="1:16">
      <c r="B69" s="17"/>
      <c r="F69" s="17"/>
    </row>
    <row r="70" spans="1:16">
      <c r="B70" s="17"/>
      <c r="F70" s="17"/>
    </row>
    <row r="71" spans="1:16">
      <c r="B71" s="17"/>
      <c r="F71" s="17"/>
    </row>
    <row r="72" spans="1:16">
      <c r="B72" s="17"/>
      <c r="F72" s="17"/>
    </row>
    <row r="73" spans="1:16">
      <c r="B73" s="17"/>
      <c r="F73" s="17"/>
    </row>
    <row r="74" spans="1:16">
      <c r="B74" s="17"/>
      <c r="F74" s="17"/>
    </row>
    <row r="75" spans="1:16">
      <c r="B75" s="17"/>
      <c r="F75" s="17"/>
    </row>
    <row r="76" spans="1:16">
      <c r="B76" s="17"/>
      <c r="F76" s="17"/>
    </row>
    <row r="77" spans="1:16">
      <c r="B77" s="17"/>
      <c r="F77" s="17"/>
    </row>
    <row r="78" spans="1:16">
      <c r="B78" s="17"/>
      <c r="F78" s="17"/>
    </row>
    <row r="79" spans="1:16">
      <c r="B79" s="17"/>
      <c r="F79" s="17"/>
    </row>
    <row r="80" spans="1:1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</sheetData>
  <phoneticPr fontId="7" type="noConversion"/>
  <hyperlinks>
    <hyperlink ref="P58" r:id="rId1" display="http://www.bav-astro.de/sfs/BAVM_link.php?BAVMnr=39" xr:uid="{00000000-0004-0000-0100-000000000000}"/>
    <hyperlink ref="P60" r:id="rId2" display="http://www.bav-astro.de/sfs/BAVM_link.php?BAVMnr=56" xr:uid="{00000000-0004-0000-0100-000001000000}"/>
    <hyperlink ref="P61" r:id="rId3" display="http://www.bav-astro.de/sfs/BAVM_link.php?BAVMnr=60" xr:uid="{00000000-0004-0000-0100-000002000000}"/>
    <hyperlink ref="P62" r:id="rId4" display="http://www.bav-astro.de/sfs/BAVM_link.php?BAVMnr=62" xr:uid="{00000000-0004-0000-0100-000003000000}"/>
    <hyperlink ref="P14" r:id="rId5" display="http://www.bav-astro.de/sfs/BAVM_link.php?BAVMnr=90" xr:uid="{00000000-0004-0000-0100-000004000000}"/>
    <hyperlink ref="P15" r:id="rId6" display="http://www.bav-astro.de/sfs/BAVM_link.php?BAVMnr=118" xr:uid="{00000000-0004-0000-0100-000005000000}"/>
    <hyperlink ref="P64" r:id="rId7" display="http://vsolj.cetus-net.org/no40.pdf" xr:uid="{00000000-0004-0000-0100-000006000000}"/>
    <hyperlink ref="P65" r:id="rId8" display="http://www.bav-astro.de/sfs/BAVM_link.php?BAVMnr=193" xr:uid="{00000000-0004-0000-0100-000007000000}"/>
    <hyperlink ref="P66" r:id="rId9" display="http://www.bav-astro.de/sfs/BAVM_link.php?BAVMnr=212" xr:uid="{00000000-0004-0000-0100-000008000000}"/>
    <hyperlink ref="P16" r:id="rId10" display="http://www.konkoly.hu/cgi-bin/IBVS?5960" xr:uid="{00000000-0004-0000-0100-000009000000}"/>
    <hyperlink ref="P67" r:id="rId11" display="http://www.bav-astro.de/sfs/BAVM_link.php?BAVMnr=225" xr:uid="{00000000-0004-0000-0100-00000A000000}"/>
    <hyperlink ref="P68" r:id="rId12" display="http://www.bav-astro.de/sfs/BAVM_link.php?BAVMnr=225" xr:uid="{00000000-0004-0000-0100-00000B000000}"/>
    <hyperlink ref="P17" r:id="rId13" display="http://var.astro.cz/oejv/issues/oejv0160.pdf" xr:uid="{00000000-0004-0000-0100-00000C000000}"/>
    <hyperlink ref="P18" r:id="rId14" display="http://var.astro.cz/oejv/issues/oejv0160.pdf" xr:uid="{00000000-0004-0000-0100-00000D000000}"/>
    <hyperlink ref="P19" r:id="rId15" display="http://var.astro.cz/oejv/issues/oejv0160.pdf" xr:uid="{00000000-0004-0000-0100-00000E000000}"/>
    <hyperlink ref="P20" r:id="rId16" display="http://www.bav-astro.de/sfs/BAVM_link.php?BAVMnr=238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2023-08-06T07:51:32Z</dcterms:modified>
</cp:coreProperties>
</file>