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DC3C0B2-129F-42DE-8107-38DB89934B53}" xr6:coauthVersionLast="47" xr6:coauthVersionMax="47" xr10:uidLastSave="{00000000-0000-0000-0000-000000000000}"/>
  <bookViews>
    <workbookView xWindow="13710" yWindow="480" windowWidth="12735" windowHeight="14580"/>
  </bookViews>
  <sheets>
    <sheet name="Active" sheetId="4" r:id="rId1"/>
    <sheet name="A (old)" sheetId="1" r:id="rId2"/>
    <sheet name="B" sheetId="2" r:id="rId3"/>
    <sheet name="BAV" sheetId="3" r:id="rId4"/>
    <sheet name="D" sheetId="5" r:id="rId5"/>
  </sheets>
  <calcPr calcId="181029"/>
</workbook>
</file>

<file path=xl/calcChain.xml><?xml version="1.0" encoding="utf-8"?>
<calcChain xmlns="http://schemas.openxmlformats.org/spreadsheetml/2006/main">
  <c r="E113" i="4" l="1"/>
  <c r="F113" i="4" s="1"/>
  <c r="G113" i="4" s="1"/>
  <c r="K113" i="4" s="1"/>
  <c r="Q113" i="4"/>
  <c r="C7" i="4"/>
  <c r="C9" i="4"/>
  <c r="D9" i="4"/>
  <c r="E96" i="4"/>
  <c r="F96" i="4"/>
  <c r="G96" i="4" s="1"/>
  <c r="J96" i="4" s="1"/>
  <c r="E97" i="4"/>
  <c r="F97" i="4" s="1"/>
  <c r="G97" i="4" s="1"/>
  <c r="K97" i="4" s="1"/>
  <c r="E98" i="4"/>
  <c r="F98" i="4"/>
  <c r="G98" i="4" s="1"/>
  <c r="J98" i="4" s="1"/>
  <c r="E99" i="4"/>
  <c r="F99" i="4" s="1"/>
  <c r="G99" i="4" s="1"/>
  <c r="K99" i="4" s="1"/>
  <c r="E100" i="4"/>
  <c r="F100" i="4"/>
  <c r="G100" i="4" s="1"/>
  <c r="K100" i="4" s="1"/>
  <c r="E102" i="4"/>
  <c r="F102" i="4" s="1"/>
  <c r="G102" i="4" s="1"/>
  <c r="K102" i="4" s="1"/>
  <c r="E103" i="4"/>
  <c r="F103" i="4"/>
  <c r="G103" i="4" s="1"/>
  <c r="K103" i="4" s="1"/>
  <c r="E104" i="4"/>
  <c r="F104" i="4" s="1"/>
  <c r="G104" i="4" s="1"/>
  <c r="K104" i="4" s="1"/>
  <c r="E105" i="4"/>
  <c r="F105" i="4"/>
  <c r="G105" i="4" s="1"/>
  <c r="K105" i="4" s="1"/>
  <c r="E106" i="4"/>
  <c r="F106" i="4" s="1"/>
  <c r="G106" i="4" s="1"/>
  <c r="K106" i="4" s="1"/>
  <c r="E107" i="4"/>
  <c r="F107" i="4"/>
  <c r="G107" i="4"/>
  <c r="K107" i="4" s="1"/>
  <c r="E108" i="4"/>
  <c r="F108" i="4" s="1"/>
  <c r="G108" i="4" s="1"/>
  <c r="J108" i="4" s="1"/>
  <c r="E109" i="4"/>
  <c r="F109" i="4"/>
  <c r="G109" i="4"/>
  <c r="K109" i="4" s="1"/>
  <c r="E111" i="4"/>
  <c r="F111" i="4" s="1"/>
  <c r="G111" i="4" s="1"/>
  <c r="K111" i="4" s="1"/>
  <c r="E112" i="4"/>
  <c r="F112" i="4"/>
  <c r="G112" i="4"/>
  <c r="K112" i="4" s="1"/>
  <c r="E110" i="4"/>
  <c r="F110" i="4" s="1"/>
  <c r="G110" i="4" s="1"/>
  <c r="K110" i="4" s="1"/>
  <c r="E101" i="4"/>
  <c r="F101" i="4"/>
  <c r="E21" i="4"/>
  <c r="F21" i="4" s="1"/>
  <c r="G21" i="4" s="1"/>
  <c r="H21" i="4" s="1"/>
  <c r="E22" i="4"/>
  <c r="F22" i="4" s="1"/>
  <c r="G22" i="4" s="1"/>
  <c r="H22" i="4" s="1"/>
  <c r="E23" i="4"/>
  <c r="F23" i="4"/>
  <c r="G23" i="4" s="1"/>
  <c r="H23" i="4" s="1"/>
  <c r="E24" i="4"/>
  <c r="F24" i="4" s="1"/>
  <c r="G24" i="4" s="1"/>
  <c r="H24" i="4" s="1"/>
  <c r="E25" i="4"/>
  <c r="F25" i="4" s="1"/>
  <c r="G25" i="4" s="1"/>
  <c r="H25" i="4" s="1"/>
  <c r="E26" i="4"/>
  <c r="F26" i="4" s="1"/>
  <c r="G26" i="4" s="1"/>
  <c r="H26" i="4" s="1"/>
  <c r="E27" i="4"/>
  <c r="F27" i="4" s="1"/>
  <c r="G27" i="4" s="1"/>
  <c r="H27" i="4" s="1"/>
  <c r="E28" i="4"/>
  <c r="F28" i="4" s="1"/>
  <c r="G28" i="4" s="1"/>
  <c r="H28" i="4" s="1"/>
  <c r="E29" i="4"/>
  <c r="F29" i="4" s="1"/>
  <c r="G29" i="4" s="1"/>
  <c r="H29" i="4" s="1"/>
  <c r="E30" i="4"/>
  <c r="F30" i="4"/>
  <c r="G30" i="4"/>
  <c r="H30" i="4" s="1"/>
  <c r="E31" i="4"/>
  <c r="F31" i="4" s="1"/>
  <c r="G31" i="4" s="1"/>
  <c r="H31" i="4" s="1"/>
  <c r="E32" i="4"/>
  <c r="F32" i="4"/>
  <c r="E33" i="4"/>
  <c r="E48" i="3" s="1"/>
  <c r="E34" i="4"/>
  <c r="F34" i="4"/>
  <c r="G34" i="4" s="1"/>
  <c r="H34" i="4" s="1"/>
  <c r="E35" i="4"/>
  <c r="E50" i="3" s="1"/>
  <c r="E36" i="4"/>
  <c r="F36" i="4"/>
  <c r="E37" i="4"/>
  <c r="F37" i="4"/>
  <c r="G37" i="4"/>
  <c r="H37" i="4" s="1"/>
  <c r="E38" i="4"/>
  <c r="F38" i="4" s="1"/>
  <c r="G38" i="4" s="1"/>
  <c r="H38" i="4" s="1"/>
  <c r="E39" i="4"/>
  <c r="F39" i="4" s="1"/>
  <c r="G39" i="4" s="1"/>
  <c r="H39" i="4" s="1"/>
  <c r="E40" i="4"/>
  <c r="F40" i="4" s="1"/>
  <c r="G40" i="4" s="1"/>
  <c r="H40" i="4" s="1"/>
  <c r="E41" i="4"/>
  <c r="F41" i="4" s="1"/>
  <c r="G41" i="4" s="1"/>
  <c r="H41" i="4" s="1"/>
  <c r="E42" i="4"/>
  <c r="F42" i="4"/>
  <c r="G42" i="4" s="1"/>
  <c r="H42" i="4" s="1"/>
  <c r="E43" i="4"/>
  <c r="F43" i="4" s="1"/>
  <c r="G43" i="4" s="1"/>
  <c r="H43" i="4" s="1"/>
  <c r="E44" i="4"/>
  <c r="F44" i="4"/>
  <c r="G44" i="4" s="1"/>
  <c r="H44" i="4" s="1"/>
  <c r="E45" i="4"/>
  <c r="F45" i="4" s="1"/>
  <c r="G45" i="4" s="1"/>
  <c r="H45" i="4" s="1"/>
  <c r="E46" i="4"/>
  <c r="F46" i="4"/>
  <c r="G46" i="4" s="1"/>
  <c r="H46" i="4" s="1"/>
  <c r="E47" i="4"/>
  <c r="F47" i="4" s="1"/>
  <c r="G47" i="4" s="1"/>
  <c r="H47" i="4" s="1"/>
  <c r="E48" i="4"/>
  <c r="F48" i="4"/>
  <c r="G48" i="4" s="1"/>
  <c r="H48" i="4" s="1"/>
  <c r="E49" i="4"/>
  <c r="F49" i="4"/>
  <c r="G49" i="4"/>
  <c r="H49" i="4" s="1"/>
  <c r="E50" i="4"/>
  <c r="F50" i="4" s="1"/>
  <c r="G50" i="4" s="1"/>
  <c r="H50" i="4" s="1"/>
  <c r="E51" i="4"/>
  <c r="F51" i="4"/>
  <c r="G51" i="4"/>
  <c r="H51" i="4" s="1"/>
  <c r="E52" i="4"/>
  <c r="F52" i="4" s="1"/>
  <c r="G52" i="4" s="1"/>
  <c r="H52" i="4" s="1"/>
  <c r="E53" i="4"/>
  <c r="F53" i="4"/>
  <c r="G53" i="4" s="1"/>
  <c r="H53" i="4" s="1"/>
  <c r="E54" i="4"/>
  <c r="F54" i="4"/>
  <c r="G54" i="4" s="1"/>
  <c r="H54" i="4" s="1"/>
  <c r="E55" i="4"/>
  <c r="F55" i="4" s="1"/>
  <c r="G55" i="4" s="1"/>
  <c r="H55" i="4" s="1"/>
  <c r="E56" i="4"/>
  <c r="F56" i="4"/>
  <c r="G56" i="4" s="1"/>
  <c r="H56" i="4" s="1"/>
  <c r="E57" i="4"/>
  <c r="F57" i="4" s="1"/>
  <c r="G57" i="4" s="1"/>
  <c r="H57" i="4" s="1"/>
  <c r="E58" i="4"/>
  <c r="F58" i="4" s="1"/>
  <c r="G58" i="4" s="1"/>
  <c r="H58" i="4" s="1"/>
  <c r="E59" i="4"/>
  <c r="F59" i="4" s="1"/>
  <c r="G59" i="4" s="1"/>
  <c r="H59" i="4" s="1"/>
  <c r="E60" i="4"/>
  <c r="F60" i="4" s="1"/>
  <c r="G60" i="4" s="1"/>
  <c r="H60" i="4" s="1"/>
  <c r="E61" i="4"/>
  <c r="F61" i="4"/>
  <c r="G61" i="4" s="1"/>
  <c r="H61" i="4" s="1"/>
  <c r="E62" i="4"/>
  <c r="F62" i="4" s="1"/>
  <c r="G62" i="4" s="1"/>
  <c r="H62" i="4" s="1"/>
  <c r="E63" i="4"/>
  <c r="F63" i="4"/>
  <c r="G63" i="4"/>
  <c r="H63" i="4" s="1"/>
  <c r="E64" i="4"/>
  <c r="F64" i="4" s="1"/>
  <c r="G64" i="4" s="1"/>
  <c r="H64" i="4" s="1"/>
  <c r="E65" i="4"/>
  <c r="F65" i="4"/>
  <c r="G65" i="4" s="1"/>
  <c r="H65" i="4" s="1"/>
  <c r="E66" i="4"/>
  <c r="E81" i="3" s="1"/>
  <c r="E67" i="4"/>
  <c r="F67" i="4"/>
  <c r="G67" i="4" s="1"/>
  <c r="H67" i="4" s="1"/>
  <c r="E68" i="4"/>
  <c r="E83" i="3" s="1"/>
  <c r="E69" i="4"/>
  <c r="F69" i="4"/>
  <c r="G69" i="4" s="1"/>
  <c r="H69" i="4" s="1"/>
  <c r="E70" i="4"/>
  <c r="F70" i="4"/>
  <c r="G70" i="4" s="1"/>
  <c r="H70" i="4" s="1"/>
  <c r="E71" i="4"/>
  <c r="F71" i="4" s="1"/>
  <c r="G71" i="4" s="1"/>
  <c r="H71" i="4" s="1"/>
  <c r="E72" i="4"/>
  <c r="F72" i="4"/>
  <c r="G72" i="4" s="1"/>
  <c r="I72" i="4" s="1"/>
  <c r="E73" i="4"/>
  <c r="F73" i="4" s="1"/>
  <c r="G73" i="4" s="1"/>
  <c r="I73" i="4" s="1"/>
  <c r="E74" i="4"/>
  <c r="F74" i="4" s="1"/>
  <c r="G74" i="4" s="1"/>
  <c r="J74" i="4" s="1"/>
  <c r="E75" i="4"/>
  <c r="F75" i="4" s="1"/>
  <c r="G75" i="4" s="1"/>
  <c r="K75" i="4" s="1"/>
  <c r="E76" i="4"/>
  <c r="F76" i="4" s="1"/>
  <c r="G76" i="4" s="1"/>
  <c r="J76" i="4" s="1"/>
  <c r="E77" i="4"/>
  <c r="F77" i="4" s="1"/>
  <c r="G77" i="4" s="1"/>
  <c r="J77" i="4" s="1"/>
  <c r="E78" i="4"/>
  <c r="F78" i="4" s="1"/>
  <c r="G78" i="4" s="1"/>
  <c r="K78" i="4" s="1"/>
  <c r="E79" i="4"/>
  <c r="F79" i="4" s="1"/>
  <c r="G79" i="4" s="1"/>
  <c r="J79" i="4" s="1"/>
  <c r="E80" i="4"/>
  <c r="F80" i="4" s="1"/>
  <c r="U80" i="4" s="1"/>
  <c r="E81" i="4"/>
  <c r="F81" i="4"/>
  <c r="G81" i="4" s="1"/>
  <c r="J81" i="4" s="1"/>
  <c r="E82" i="4"/>
  <c r="F82" i="4" s="1"/>
  <c r="G82" i="4" s="1"/>
  <c r="J82" i="4" s="1"/>
  <c r="E83" i="4"/>
  <c r="F83" i="4"/>
  <c r="G83" i="4" s="1"/>
  <c r="J83" i="4" s="1"/>
  <c r="E84" i="4"/>
  <c r="F84" i="4" s="1"/>
  <c r="G84" i="4" s="1"/>
  <c r="J84" i="4" s="1"/>
  <c r="E85" i="4"/>
  <c r="F85" i="4"/>
  <c r="G85" i="4" s="1"/>
  <c r="J85" i="4" s="1"/>
  <c r="E86" i="4"/>
  <c r="F86" i="4" s="1"/>
  <c r="G86" i="4" s="1"/>
  <c r="K86" i="4" s="1"/>
  <c r="E87" i="4"/>
  <c r="F87" i="4"/>
  <c r="G87" i="4" s="1"/>
  <c r="K87" i="4" s="1"/>
  <c r="E88" i="4"/>
  <c r="F88" i="4" s="1"/>
  <c r="G88" i="4" s="1"/>
  <c r="K88" i="4" s="1"/>
  <c r="E89" i="4"/>
  <c r="F89" i="4" s="1"/>
  <c r="G89" i="4" s="1"/>
  <c r="K89" i="4" s="1"/>
  <c r="E90" i="4"/>
  <c r="F90" i="4" s="1"/>
  <c r="G90" i="4" s="1"/>
  <c r="K90" i="4" s="1"/>
  <c r="E91" i="4"/>
  <c r="F91" i="4" s="1"/>
  <c r="G91" i="4" s="1"/>
  <c r="J91" i="4" s="1"/>
  <c r="E92" i="4"/>
  <c r="F92" i="4" s="1"/>
  <c r="G92" i="4" s="1"/>
  <c r="K92" i="4" s="1"/>
  <c r="E93" i="4"/>
  <c r="F93" i="4" s="1"/>
  <c r="G93" i="4" s="1"/>
  <c r="J93" i="4" s="1"/>
  <c r="E94" i="4"/>
  <c r="F94" i="4"/>
  <c r="G94" i="4" s="1"/>
  <c r="J94" i="4" s="1"/>
  <c r="E95" i="4"/>
  <c r="F95" i="4" s="1"/>
  <c r="G95" i="4" s="1"/>
  <c r="K95" i="4" s="1"/>
  <c r="F16" i="4"/>
  <c r="F17" i="4" s="1"/>
  <c r="C17" i="4"/>
  <c r="Q21" i="4"/>
  <c r="Q22" i="4"/>
  <c r="Q23" i="4"/>
  <c r="Q24" i="4"/>
  <c r="Q25" i="4"/>
  <c r="Q26" i="4"/>
  <c r="Q27" i="4"/>
  <c r="Q28" i="4"/>
  <c r="Q29" i="4"/>
  <c r="Q30" i="4"/>
  <c r="Q31" i="4"/>
  <c r="G32" i="4"/>
  <c r="H32" i="4" s="1"/>
  <c r="Q32" i="4"/>
  <c r="Q33" i="4"/>
  <c r="Q34" i="4"/>
  <c r="Q35" i="4"/>
  <c r="G36" i="4"/>
  <c r="H36" i="4" s="1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1" i="4"/>
  <c r="Q112" i="4"/>
  <c r="Q110" i="4"/>
  <c r="C7" i="1"/>
  <c r="E24" i="1"/>
  <c r="F24" i="1"/>
  <c r="C8" i="1"/>
  <c r="C18" i="1"/>
  <c r="Q21" i="1"/>
  <c r="Q22" i="1"/>
  <c r="Q23" i="1"/>
  <c r="Q24" i="1"/>
  <c r="Q25" i="1"/>
  <c r="Q26" i="1"/>
  <c r="Q27" i="1"/>
  <c r="Q28" i="1"/>
  <c r="Q29" i="1"/>
  <c r="C7" i="2"/>
  <c r="E25" i="2"/>
  <c r="F25" i="2"/>
  <c r="G25" i="2"/>
  <c r="E26" i="2"/>
  <c r="F26" i="2"/>
  <c r="G26" i="2"/>
  <c r="I26" i="2"/>
  <c r="E27" i="2"/>
  <c r="F27" i="2"/>
  <c r="G27" i="2"/>
  <c r="I27" i="2"/>
  <c r="E28" i="2"/>
  <c r="F28" i="2"/>
  <c r="G28" i="2"/>
  <c r="E29" i="2"/>
  <c r="F29" i="2"/>
  <c r="G29" i="2"/>
  <c r="J29" i="2"/>
  <c r="E30" i="2"/>
  <c r="F30" i="2"/>
  <c r="G30" i="2"/>
  <c r="J30" i="2"/>
  <c r="C18" i="2"/>
  <c r="E21" i="2"/>
  <c r="F21" i="2"/>
  <c r="Q21" i="2"/>
  <c r="E22" i="2"/>
  <c r="F22" i="2"/>
  <c r="G22" i="2"/>
  <c r="I22" i="2"/>
  <c r="Q22" i="2"/>
  <c r="E23" i="2"/>
  <c r="F23" i="2"/>
  <c r="G23" i="2"/>
  <c r="I23" i="2"/>
  <c r="Q23" i="2"/>
  <c r="E24" i="2"/>
  <c r="F24" i="2"/>
  <c r="G24" i="2"/>
  <c r="I24" i="2"/>
  <c r="Q24" i="2"/>
  <c r="Q25" i="2"/>
  <c r="Q26" i="2"/>
  <c r="Q27" i="2"/>
  <c r="I28" i="2"/>
  <c r="Q28" i="2"/>
  <c r="Q29" i="2"/>
  <c r="Q30" i="2"/>
  <c r="A11" i="3"/>
  <c r="H11" i="3"/>
  <c r="B11" i="3"/>
  <c r="G11" i="3"/>
  <c r="C11" i="3"/>
  <c r="D11" i="3"/>
  <c r="E11" i="3"/>
  <c r="A12" i="3"/>
  <c r="H12" i="3"/>
  <c r="B12" i="3"/>
  <c r="G12" i="3"/>
  <c r="C12" i="3"/>
  <c r="E12" i="3"/>
  <c r="D12" i="3"/>
  <c r="A13" i="3"/>
  <c r="H13" i="3"/>
  <c r="B13" i="3"/>
  <c r="G13" i="3"/>
  <c r="C13" i="3"/>
  <c r="E13" i="3"/>
  <c r="D13" i="3"/>
  <c r="A14" i="3"/>
  <c r="H14" i="3"/>
  <c r="B14" i="3"/>
  <c r="G14" i="3"/>
  <c r="C14" i="3"/>
  <c r="E14" i="3"/>
  <c r="D14" i="3"/>
  <c r="A15" i="3"/>
  <c r="H15" i="3"/>
  <c r="B15" i="3"/>
  <c r="G15" i="3"/>
  <c r="C15" i="3"/>
  <c r="E15" i="3"/>
  <c r="D15" i="3"/>
  <c r="A16" i="3"/>
  <c r="H16" i="3"/>
  <c r="B16" i="3"/>
  <c r="G16" i="3"/>
  <c r="C16" i="3"/>
  <c r="E16" i="3"/>
  <c r="D16" i="3"/>
  <c r="A17" i="3"/>
  <c r="H17" i="3"/>
  <c r="B17" i="3"/>
  <c r="G17" i="3"/>
  <c r="C17" i="3"/>
  <c r="D17" i="3"/>
  <c r="E17" i="3"/>
  <c r="A18" i="3"/>
  <c r="H18" i="3"/>
  <c r="B18" i="3"/>
  <c r="G18" i="3"/>
  <c r="C18" i="3"/>
  <c r="E18" i="3"/>
  <c r="D18" i="3"/>
  <c r="A19" i="3"/>
  <c r="H19" i="3"/>
  <c r="B19" i="3"/>
  <c r="G19" i="3"/>
  <c r="C19" i="3"/>
  <c r="D19" i="3"/>
  <c r="E19" i="3"/>
  <c r="A20" i="3"/>
  <c r="H20" i="3"/>
  <c r="B20" i="3"/>
  <c r="G20" i="3"/>
  <c r="C20" i="3"/>
  <c r="E20" i="3"/>
  <c r="D20" i="3"/>
  <c r="A21" i="3"/>
  <c r="H21" i="3"/>
  <c r="B21" i="3"/>
  <c r="G21" i="3"/>
  <c r="C21" i="3"/>
  <c r="E21" i="3"/>
  <c r="F21" i="3"/>
  <c r="D21" i="3"/>
  <c r="A22" i="3"/>
  <c r="H22" i="3"/>
  <c r="B22" i="3"/>
  <c r="G22" i="3"/>
  <c r="C22" i="3"/>
  <c r="E22" i="3"/>
  <c r="F22" i="3"/>
  <c r="D22" i="3"/>
  <c r="A23" i="3"/>
  <c r="H23" i="3"/>
  <c r="B23" i="3"/>
  <c r="G23" i="3"/>
  <c r="C23" i="3"/>
  <c r="E23" i="3"/>
  <c r="F23" i="3"/>
  <c r="D23" i="3"/>
  <c r="A24" i="3"/>
  <c r="H24" i="3"/>
  <c r="B24" i="3"/>
  <c r="G24" i="3"/>
  <c r="C24" i="3"/>
  <c r="E24" i="3"/>
  <c r="F24" i="3"/>
  <c r="D24" i="3"/>
  <c r="A25" i="3"/>
  <c r="H25" i="3"/>
  <c r="B25" i="3"/>
  <c r="G25" i="3"/>
  <c r="C25" i="3"/>
  <c r="E25" i="3"/>
  <c r="F25" i="3"/>
  <c r="D25" i="3"/>
  <c r="A26" i="3"/>
  <c r="H26" i="3"/>
  <c r="B26" i="3"/>
  <c r="G26" i="3"/>
  <c r="C26" i="3"/>
  <c r="D26" i="3"/>
  <c r="E26" i="3"/>
  <c r="A27" i="3"/>
  <c r="H27" i="3"/>
  <c r="B27" i="3"/>
  <c r="G27" i="3"/>
  <c r="C27" i="3"/>
  <c r="E27" i="3"/>
  <c r="D27" i="3"/>
  <c r="A28" i="3"/>
  <c r="H28" i="3"/>
  <c r="B28" i="3"/>
  <c r="G28" i="3"/>
  <c r="C28" i="3"/>
  <c r="E28" i="3"/>
  <c r="D28" i="3"/>
  <c r="A29" i="3"/>
  <c r="H29" i="3"/>
  <c r="B29" i="3"/>
  <c r="G29" i="3"/>
  <c r="C29" i="3"/>
  <c r="E29" i="3"/>
  <c r="D29" i="3"/>
  <c r="A30" i="3"/>
  <c r="H30" i="3"/>
  <c r="B30" i="3"/>
  <c r="G30" i="3"/>
  <c r="C30" i="3"/>
  <c r="D30" i="3"/>
  <c r="E30" i="3"/>
  <c r="A31" i="3"/>
  <c r="H31" i="3"/>
  <c r="B31" i="3"/>
  <c r="G31" i="3"/>
  <c r="C31" i="3"/>
  <c r="E31" i="3"/>
  <c r="D31" i="3"/>
  <c r="A32" i="3"/>
  <c r="H32" i="3"/>
  <c r="B32" i="3"/>
  <c r="G32" i="3"/>
  <c r="C32" i="3"/>
  <c r="D32" i="3"/>
  <c r="E32" i="3"/>
  <c r="A33" i="3"/>
  <c r="H33" i="3"/>
  <c r="B33" i="3"/>
  <c r="G33" i="3"/>
  <c r="C33" i="3"/>
  <c r="E33" i="3"/>
  <c r="D33" i="3"/>
  <c r="A34" i="3"/>
  <c r="H34" i="3"/>
  <c r="B34" i="3"/>
  <c r="G34" i="3"/>
  <c r="C34" i="3"/>
  <c r="D34" i="3"/>
  <c r="E34" i="3"/>
  <c r="A35" i="3"/>
  <c r="H35" i="3"/>
  <c r="B35" i="3"/>
  <c r="G35" i="3"/>
  <c r="C35" i="3"/>
  <c r="E35" i="3"/>
  <c r="D35" i="3"/>
  <c r="A36" i="3"/>
  <c r="H36" i="3"/>
  <c r="B36" i="3"/>
  <c r="G36" i="3"/>
  <c r="C36" i="3"/>
  <c r="E36" i="3"/>
  <c r="D36" i="3"/>
  <c r="A37" i="3"/>
  <c r="H37" i="3"/>
  <c r="B37" i="3"/>
  <c r="G37" i="3"/>
  <c r="C37" i="3"/>
  <c r="E37" i="3"/>
  <c r="D37" i="3"/>
  <c r="A38" i="3"/>
  <c r="H38" i="3"/>
  <c r="B38" i="3"/>
  <c r="G38" i="3"/>
  <c r="C38" i="3"/>
  <c r="D38" i="3"/>
  <c r="E38" i="3"/>
  <c r="A39" i="3"/>
  <c r="H39" i="3"/>
  <c r="B39" i="3"/>
  <c r="G39" i="3"/>
  <c r="C39" i="3"/>
  <c r="E39" i="3"/>
  <c r="D39" i="3"/>
  <c r="A40" i="3"/>
  <c r="H40" i="3"/>
  <c r="B40" i="3"/>
  <c r="G40" i="3"/>
  <c r="C40" i="3"/>
  <c r="D40" i="3"/>
  <c r="E40" i="3"/>
  <c r="A41" i="3"/>
  <c r="H41" i="3"/>
  <c r="B41" i="3"/>
  <c r="G41" i="3"/>
  <c r="C41" i="3"/>
  <c r="E41" i="3"/>
  <c r="D41" i="3"/>
  <c r="A42" i="3"/>
  <c r="H42" i="3"/>
  <c r="B42" i="3"/>
  <c r="G42" i="3"/>
  <c r="C42" i="3"/>
  <c r="D42" i="3"/>
  <c r="E42" i="3"/>
  <c r="A43" i="3"/>
  <c r="H43" i="3"/>
  <c r="B43" i="3"/>
  <c r="G43" i="3"/>
  <c r="C43" i="3"/>
  <c r="E43" i="3"/>
  <c r="D43" i="3"/>
  <c r="A44" i="3"/>
  <c r="H44" i="3"/>
  <c r="B44" i="3"/>
  <c r="G44" i="3"/>
  <c r="C44" i="3"/>
  <c r="E44" i="3"/>
  <c r="D44" i="3"/>
  <c r="A45" i="3"/>
  <c r="H45" i="3"/>
  <c r="B45" i="3"/>
  <c r="G45" i="3"/>
  <c r="C45" i="3"/>
  <c r="E45" i="3"/>
  <c r="D45" i="3"/>
  <c r="A46" i="3"/>
  <c r="H46" i="3"/>
  <c r="B46" i="3"/>
  <c r="G46" i="3"/>
  <c r="C46" i="3"/>
  <c r="D46" i="3"/>
  <c r="E46" i="3"/>
  <c r="A47" i="3"/>
  <c r="H47" i="3"/>
  <c r="B47" i="3"/>
  <c r="G47" i="3"/>
  <c r="C47" i="3"/>
  <c r="E47" i="3"/>
  <c r="D47" i="3"/>
  <c r="A48" i="3"/>
  <c r="H48" i="3"/>
  <c r="B48" i="3"/>
  <c r="G48" i="3"/>
  <c r="C48" i="3"/>
  <c r="D48" i="3"/>
  <c r="A49" i="3"/>
  <c r="H49" i="3"/>
  <c r="B49" i="3"/>
  <c r="G49" i="3"/>
  <c r="C49" i="3"/>
  <c r="E49" i="3"/>
  <c r="D49" i="3"/>
  <c r="A50" i="3"/>
  <c r="H50" i="3"/>
  <c r="B50" i="3"/>
  <c r="G50" i="3"/>
  <c r="C50" i="3"/>
  <c r="D50" i="3"/>
  <c r="A51" i="3"/>
  <c r="H51" i="3"/>
  <c r="B51" i="3"/>
  <c r="G51" i="3"/>
  <c r="C51" i="3"/>
  <c r="E51" i="3"/>
  <c r="D51" i="3"/>
  <c r="A52" i="3"/>
  <c r="H52" i="3"/>
  <c r="B52" i="3"/>
  <c r="G52" i="3"/>
  <c r="C52" i="3"/>
  <c r="E52" i="3"/>
  <c r="D52" i="3"/>
  <c r="A53" i="3"/>
  <c r="H53" i="3"/>
  <c r="B53" i="3"/>
  <c r="G53" i="3"/>
  <c r="C53" i="3"/>
  <c r="E53" i="3"/>
  <c r="D53" i="3"/>
  <c r="A54" i="3"/>
  <c r="H54" i="3"/>
  <c r="B54" i="3"/>
  <c r="G54" i="3"/>
  <c r="C54" i="3"/>
  <c r="D54" i="3"/>
  <c r="E54" i="3"/>
  <c r="A55" i="3"/>
  <c r="H55" i="3"/>
  <c r="B55" i="3"/>
  <c r="G55" i="3"/>
  <c r="C55" i="3"/>
  <c r="E55" i="3"/>
  <c r="D55" i="3"/>
  <c r="A56" i="3"/>
  <c r="H56" i="3"/>
  <c r="B56" i="3"/>
  <c r="G56" i="3"/>
  <c r="C56" i="3"/>
  <c r="E56" i="3"/>
  <c r="D56" i="3"/>
  <c r="A57" i="3"/>
  <c r="H57" i="3"/>
  <c r="B57" i="3"/>
  <c r="G57" i="3"/>
  <c r="C57" i="3"/>
  <c r="E57" i="3"/>
  <c r="D57" i="3"/>
  <c r="A58" i="3"/>
  <c r="H58" i="3"/>
  <c r="B58" i="3"/>
  <c r="G58" i="3"/>
  <c r="C58" i="3"/>
  <c r="E58" i="3"/>
  <c r="D58" i="3"/>
  <c r="A59" i="3"/>
  <c r="H59" i="3"/>
  <c r="B59" i="3"/>
  <c r="G59" i="3"/>
  <c r="C59" i="3"/>
  <c r="E59" i="3"/>
  <c r="D59" i="3"/>
  <c r="A60" i="3"/>
  <c r="H60" i="3"/>
  <c r="B60" i="3"/>
  <c r="G60" i="3"/>
  <c r="C60" i="3"/>
  <c r="D60" i="3"/>
  <c r="E60" i="3"/>
  <c r="A61" i="3"/>
  <c r="H61" i="3"/>
  <c r="B61" i="3"/>
  <c r="G61" i="3"/>
  <c r="C61" i="3"/>
  <c r="E61" i="3"/>
  <c r="D61" i="3"/>
  <c r="A62" i="3"/>
  <c r="H62" i="3"/>
  <c r="B62" i="3"/>
  <c r="G62" i="3"/>
  <c r="C62" i="3"/>
  <c r="E62" i="3"/>
  <c r="D62" i="3"/>
  <c r="A63" i="3"/>
  <c r="H63" i="3"/>
  <c r="B63" i="3"/>
  <c r="G63" i="3"/>
  <c r="C63" i="3"/>
  <c r="D63" i="3"/>
  <c r="E63" i="3"/>
  <c r="A64" i="3"/>
  <c r="H64" i="3"/>
  <c r="B64" i="3"/>
  <c r="G64" i="3"/>
  <c r="C64" i="3"/>
  <c r="D64" i="3"/>
  <c r="E64" i="3"/>
  <c r="A65" i="3"/>
  <c r="H65" i="3"/>
  <c r="B65" i="3"/>
  <c r="G65" i="3"/>
  <c r="C65" i="3"/>
  <c r="E65" i="3"/>
  <c r="D65" i="3"/>
  <c r="A66" i="3"/>
  <c r="H66" i="3"/>
  <c r="B66" i="3"/>
  <c r="G66" i="3"/>
  <c r="C66" i="3"/>
  <c r="D66" i="3"/>
  <c r="E66" i="3"/>
  <c r="A67" i="3"/>
  <c r="H67" i="3"/>
  <c r="B67" i="3"/>
  <c r="G67" i="3"/>
  <c r="C67" i="3"/>
  <c r="E67" i="3"/>
  <c r="D67" i="3"/>
  <c r="A68" i="3"/>
  <c r="H68" i="3"/>
  <c r="B68" i="3"/>
  <c r="G68" i="3"/>
  <c r="C68" i="3"/>
  <c r="E68" i="3"/>
  <c r="D68" i="3"/>
  <c r="A69" i="3"/>
  <c r="H69" i="3"/>
  <c r="B69" i="3"/>
  <c r="G69" i="3"/>
  <c r="C69" i="3"/>
  <c r="E69" i="3"/>
  <c r="D69" i="3"/>
  <c r="A70" i="3"/>
  <c r="H70" i="3"/>
  <c r="B70" i="3"/>
  <c r="G70" i="3"/>
  <c r="C70" i="3"/>
  <c r="E70" i="3"/>
  <c r="D70" i="3"/>
  <c r="A71" i="3"/>
  <c r="H71" i="3"/>
  <c r="B71" i="3"/>
  <c r="G71" i="3"/>
  <c r="C71" i="3"/>
  <c r="E71" i="3"/>
  <c r="D71" i="3"/>
  <c r="A72" i="3"/>
  <c r="H72" i="3"/>
  <c r="B72" i="3"/>
  <c r="G72" i="3"/>
  <c r="C72" i="3"/>
  <c r="D72" i="3"/>
  <c r="E72" i="3"/>
  <c r="A73" i="3"/>
  <c r="H73" i="3"/>
  <c r="B73" i="3"/>
  <c r="G73" i="3"/>
  <c r="C73" i="3"/>
  <c r="E73" i="3"/>
  <c r="D73" i="3"/>
  <c r="A74" i="3"/>
  <c r="H74" i="3"/>
  <c r="B74" i="3"/>
  <c r="G74" i="3"/>
  <c r="C74" i="3"/>
  <c r="E74" i="3"/>
  <c r="D74" i="3"/>
  <c r="A75" i="3"/>
  <c r="H75" i="3"/>
  <c r="B75" i="3"/>
  <c r="G75" i="3"/>
  <c r="C75" i="3"/>
  <c r="E75" i="3"/>
  <c r="D75" i="3"/>
  <c r="A76" i="3"/>
  <c r="H76" i="3"/>
  <c r="B76" i="3"/>
  <c r="G76" i="3"/>
  <c r="C76" i="3"/>
  <c r="E76" i="3"/>
  <c r="D76" i="3"/>
  <c r="A77" i="3"/>
  <c r="H77" i="3"/>
  <c r="B77" i="3"/>
  <c r="G77" i="3"/>
  <c r="C77" i="3"/>
  <c r="E77" i="3"/>
  <c r="D77" i="3"/>
  <c r="A78" i="3"/>
  <c r="H78" i="3"/>
  <c r="B78" i="3"/>
  <c r="G78" i="3"/>
  <c r="C78" i="3"/>
  <c r="D78" i="3"/>
  <c r="E78" i="3"/>
  <c r="A79" i="3"/>
  <c r="H79" i="3"/>
  <c r="B79" i="3"/>
  <c r="G79" i="3"/>
  <c r="C79" i="3"/>
  <c r="E79" i="3"/>
  <c r="D79" i="3"/>
  <c r="A80" i="3"/>
  <c r="H80" i="3"/>
  <c r="B80" i="3"/>
  <c r="G80" i="3"/>
  <c r="C80" i="3"/>
  <c r="D80" i="3"/>
  <c r="E80" i="3"/>
  <c r="A81" i="3"/>
  <c r="H81" i="3"/>
  <c r="B81" i="3"/>
  <c r="G81" i="3"/>
  <c r="C81" i="3"/>
  <c r="D81" i="3"/>
  <c r="A82" i="3"/>
  <c r="H82" i="3"/>
  <c r="B82" i="3"/>
  <c r="G82" i="3"/>
  <c r="C82" i="3"/>
  <c r="E82" i="3"/>
  <c r="D82" i="3"/>
  <c r="A83" i="3"/>
  <c r="H83" i="3"/>
  <c r="B83" i="3"/>
  <c r="G83" i="3"/>
  <c r="C83" i="3"/>
  <c r="D83" i="3"/>
  <c r="A84" i="3"/>
  <c r="H84" i="3"/>
  <c r="B84" i="3"/>
  <c r="G84" i="3"/>
  <c r="C84" i="3"/>
  <c r="E84" i="3"/>
  <c r="D84" i="3"/>
  <c r="A85" i="3"/>
  <c r="H85" i="3"/>
  <c r="B85" i="3"/>
  <c r="G85" i="3"/>
  <c r="C85" i="3"/>
  <c r="E85" i="3"/>
  <c r="D85" i="3"/>
  <c r="A86" i="3"/>
  <c r="H86" i="3"/>
  <c r="B86" i="3"/>
  <c r="G86" i="3"/>
  <c r="C86" i="3"/>
  <c r="D86" i="3"/>
  <c r="E86" i="3"/>
  <c r="A87" i="3"/>
  <c r="H87" i="3"/>
  <c r="B87" i="3"/>
  <c r="G87" i="3"/>
  <c r="C87" i="3"/>
  <c r="E87" i="3"/>
  <c r="D87" i="3"/>
  <c r="A88" i="3"/>
  <c r="H88" i="3"/>
  <c r="B88" i="3"/>
  <c r="G88" i="3"/>
  <c r="C88" i="3"/>
  <c r="D88" i="3"/>
  <c r="E88" i="3"/>
  <c r="A89" i="3"/>
  <c r="H89" i="3"/>
  <c r="B89" i="3"/>
  <c r="G89" i="3"/>
  <c r="C89" i="3"/>
  <c r="E89" i="3"/>
  <c r="D89" i="3"/>
  <c r="A90" i="3"/>
  <c r="H90" i="3"/>
  <c r="B90" i="3"/>
  <c r="G90" i="3"/>
  <c r="C90" i="3"/>
  <c r="E90" i="3"/>
  <c r="D90" i="3"/>
  <c r="A91" i="3"/>
  <c r="H91" i="3"/>
  <c r="B91" i="3"/>
  <c r="G91" i="3"/>
  <c r="C91" i="3"/>
  <c r="E91" i="3"/>
  <c r="D91" i="3"/>
  <c r="A92" i="3"/>
  <c r="H92" i="3"/>
  <c r="B92" i="3"/>
  <c r="G92" i="3"/>
  <c r="C92" i="3"/>
  <c r="E92" i="3"/>
  <c r="D92" i="3"/>
  <c r="A93" i="3"/>
  <c r="H93" i="3"/>
  <c r="B93" i="3"/>
  <c r="G93" i="3"/>
  <c r="C93" i="3"/>
  <c r="E93" i="3"/>
  <c r="D93" i="3"/>
  <c r="A94" i="3"/>
  <c r="H94" i="3"/>
  <c r="B94" i="3"/>
  <c r="G94" i="3"/>
  <c r="C94" i="3"/>
  <c r="D94" i="3"/>
  <c r="E94" i="3"/>
  <c r="E25" i="5"/>
  <c r="F25" i="5"/>
  <c r="G25" i="5"/>
  <c r="E26" i="5"/>
  <c r="F26" i="5"/>
  <c r="G26" i="5"/>
  <c r="I26" i="5"/>
  <c r="E27" i="5"/>
  <c r="F27" i="5"/>
  <c r="G27" i="5"/>
  <c r="I27" i="5"/>
  <c r="E28" i="5"/>
  <c r="F28" i="5"/>
  <c r="G28" i="5"/>
  <c r="I28" i="5"/>
  <c r="E29" i="5"/>
  <c r="F29" i="5"/>
  <c r="G29" i="5"/>
  <c r="J29" i="5"/>
  <c r="E30" i="5"/>
  <c r="F30" i="5"/>
  <c r="G30" i="5"/>
  <c r="J30" i="5"/>
  <c r="C18" i="5"/>
  <c r="E21" i="5"/>
  <c r="F21" i="5"/>
  <c r="Q21" i="5"/>
  <c r="E22" i="5"/>
  <c r="F22" i="5"/>
  <c r="G22" i="5"/>
  <c r="I22" i="5"/>
  <c r="Q22" i="5"/>
  <c r="E23" i="5"/>
  <c r="F23" i="5"/>
  <c r="G23" i="5"/>
  <c r="I23" i="5"/>
  <c r="Q23" i="5"/>
  <c r="E24" i="5"/>
  <c r="F24" i="5"/>
  <c r="G24" i="5"/>
  <c r="I24" i="5"/>
  <c r="Q24" i="5"/>
  <c r="Q25" i="5"/>
  <c r="Q26" i="5"/>
  <c r="Q27" i="5"/>
  <c r="Q28" i="5"/>
  <c r="Q29" i="5"/>
  <c r="Q30" i="5"/>
  <c r="C11" i="5"/>
  <c r="I25" i="5"/>
  <c r="C12" i="5"/>
  <c r="C16" i="5"/>
  <c r="D18" i="5"/>
  <c r="C11" i="2"/>
  <c r="I25" i="2"/>
  <c r="C12" i="2"/>
  <c r="C16" i="2"/>
  <c r="D18" i="2"/>
  <c r="G26" i="1"/>
  <c r="I26" i="1"/>
  <c r="E27" i="1"/>
  <c r="F27" i="1"/>
  <c r="E22" i="1"/>
  <c r="F22" i="1"/>
  <c r="G24" i="1"/>
  <c r="I24" i="1"/>
  <c r="E21" i="1"/>
  <c r="F21" i="1"/>
  <c r="E25" i="1"/>
  <c r="F25" i="1"/>
  <c r="G25" i="1"/>
  <c r="I25" i="1"/>
  <c r="G27" i="1"/>
  <c r="I27" i="1"/>
  <c r="G22" i="1"/>
  <c r="I22" i="1"/>
  <c r="E28" i="1"/>
  <c r="F28" i="1"/>
  <c r="E23" i="1"/>
  <c r="F23" i="1"/>
  <c r="E26" i="1"/>
  <c r="F26" i="1"/>
  <c r="G28" i="1"/>
  <c r="I28" i="1"/>
  <c r="G23" i="1"/>
  <c r="I23" i="1"/>
  <c r="E29" i="1"/>
  <c r="F29" i="1"/>
  <c r="G29" i="1"/>
  <c r="J29" i="1"/>
  <c r="O24" i="5"/>
  <c r="O29" i="5"/>
  <c r="O27" i="5"/>
  <c r="O30" i="5"/>
  <c r="O25" i="5"/>
  <c r="O26" i="5"/>
  <c r="O28" i="5"/>
  <c r="C11" i="1"/>
  <c r="C12" i="1"/>
  <c r="C16" i="1"/>
  <c r="D18" i="1"/>
  <c r="O26" i="2"/>
  <c r="O29" i="2"/>
  <c r="O24" i="2"/>
  <c r="O27" i="2"/>
  <c r="O30" i="2"/>
  <c r="O25" i="2"/>
  <c r="O28" i="2"/>
  <c r="O21" i="1"/>
  <c r="O29" i="1"/>
  <c r="O24" i="1"/>
  <c r="O27" i="1"/>
  <c r="O22" i="1"/>
  <c r="O25" i="1"/>
  <c r="O28" i="1"/>
  <c r="O23" i="1"/>
  <c r="O26" i="1"/>
  <c r="C12" i="4"/>
  <c r="C11" i="4"/>
  <c r="F68" i="4" l="1"/>
  <c r="G68" i="4" s="1"/>
  <c r="H68" i="4" s="1"/>
  <c r="F66" i="4"/>
  <c r="G66" i="4" s="1"/>
  <c r="H66" i="4" s="1"/>
  <c r="F35" i="4"/>
  <c r="G35" i="4" s="1"/>
  <c r="H35" i="4" s="1"/>
  <c r="F33" i="4"/>
  <c r="G33" i="4" s="1"/>
  <c r="H33" i="4" s="1"/>
  <c r="O113" i="4"/>
  <c r="O89" i="4"/>
  <c r="O102" i="4"/>
  <c r="O112" i="4"/>
  <c r="O91" i="4"/>
  <c r="O111" i="4"/>
  <c r="O105" i="4"/>
  <c r="O93" i="4"/>
  <c r="O104" i="4"/>
  <c r="O92" i="4"/>
  <c r="O97" i="4"/>
  <c r="O95" i="4"/>
  <c r="O110" i="4"/>
  <c r="O99" i="4"/>
  <c r="O94" i="4"/>
  <c r="O108" i="4"/>
  <c r="O106" i="4"/>
  <c r="O96" i="4"/>
  <c r="O100" i="4"/>
  <c r="O98" i="4"/>
  <c r="O107" i="4"/>
  <c r="O103" i="4"/>
  <c r="O101" i="4"/>
  <c r="O90" i="4"/>
  <c r="O109" i="4"/>
  <c r="C16" i="4"/>
  <c r="D18" i="4" s="1"/>
  <c r="C15" i="4" l="1"/>
  <c r="F18" i="4" s="1"/>
  <c r="F19" i="4" s="1"/>
  <c r="C18" i="4" l="1"/>
</calcChain>
</file>

<file path=xl/sharedStrings.xml><?xml version="1.0" encoding="utf-8"?>
<sst xmlns="http://schemas.openxmlformats.org/spreadsheetml/2006/main" count="1011" uniqueCount="400">
  <si>
    <t>IK Per</t>
  </si>
  <si>
    <t>See page B.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</si>
  <si>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</si>
  <si>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</si>
  <si>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</si>
  <si>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</si>
  <si>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</si>
  <si>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</si>
  <si>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</si>
  <si>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</si>
  <si>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</si>
  <si>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</si>
  <si>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</si>
  <si>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</si>
  <si>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</si>
  <si>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</si>
  <si>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</si>
  <si>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</si>
  <si>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</si>
  <si>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</si>
  <si>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</si>
  <si>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</si>
  <si>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</si>
  <si>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</si>
  <si>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</si>
  <si>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IBVS</t>
  </si>
  <si>
    <t>Nelson</t>
  </si>
  <si>
    <t>S3</t>
  </si>
  <si>
    <t>S4</t>
  </si>
  <si>
    <t>S5</t>
  </si>
  <si>
    <t>Misc</t>
  </si>
  <si>
    <t>Lin Fit</t>
  </si>
  <si>
    <t>Q. Fit</t>
  </si>
  <si>
    <t>Date</t>
  </si>
  <si>
    <t>IBVS 0180</t>
  </si>
  <si>
    <t>I</t>
  </si>
  <si>
    <t>II</t>
  </si>
  <si>
    <t>IBVS 4912</t>
  </si>
  <si>
    <t>51249.3580</t>
  </si>
  <si>
    <t>IBVS 5017</t>
  </si>
  <si>
    <t>IBVS 5296</t>
  </si>
  <si>
    <t>IBVS 5484</t>
  </si>
  <si>
    <t>RHN 2005</t>
  </si>
  <si>
    <t>Hmmmmm -- strange!</t>
  </si>
  <si>
    <t>Period change?</t>
  </si>
  <si>
    <t>IBVS 5602</t>
  </si>
  <si>
    <t>RHN 2006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</si>
  <si>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</si>
  <si>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</si>
  <si>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</si>
  <si>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</si>
  <si>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</si>
  <si>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</si>
  <si>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</si>
  <si>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</si>
  <si>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</si>
  <si>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</si>
  <si>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</si>
  <si>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2439125.411 </t>
  </si>
  <si>
    <t> 30.12.1965 21:51 </t>
  </si>
  <si>
    <t> 0.009 </t>
  </si>
  <si>
    <t>V </t>
  </si>
  <si>
    <t> M.Baldwin </t>
  </si>
  <si>
    <t>IBVS 180 </t>
  </si>
  <si>
    <t>2439125.744 </t>
  </si>
  <si>
    <t> 31.12.1965 05:51 </t>
  </si>
  <si>
    <t> 0.004 </t>
  </si>
  <si>
    <t>2451470.4169 </t>
  </si>
  <si>
    <t> 18.10.1999 22:00 </t>
  </si>
  <si>
    <t> -0.0951 </t>
  </si>
  <si>
    <t>E </t>
  </si>
  <si>
    <t>o</t>
  </si>
  <si>
    <t> D.Husar </t>
  </si>
  <si>
    <t>BAVM 133 </t>
  </si>
  <si>
    <t>2451923.3535 </t>
  </si>
  <si>
    <t> 13.01.2001 20:29 </t>
  </si>
  <si>
    <t> -0.1032 </t>
  </si>
  <si>
    <t>B;V</t>
  </si>
  <si>
    <t> F.Agerer </t>
  </si>
  <si>
    <t>BAVM 152 </t>
  </si>
  <si>
    <t>2452260.69 </t>
  </si>
  <si>
    <t> 17.12.2001 04:33 </t>
  </si>
  <si>
    <t> -0.11 </t>
  </si>
  <si>
    <t>C </t>
  </si>
  <si>
    <t>ns</t>
  </si>
  <si>
    <t> S.Dvorak </t>
  </si>
  <si>
    <t>JAAVSO 37(1);44 </t>
  </si>
  <si>
    <t>2452325.5920 </t>
  </si>
  <si>
    <t> 20.02.2002 02:12 </t>
  </si>
  <si>
    <t> -0.1067 </t>
  </si>
  <si>
    <t> JAAVSO 41;122 </t>
  </si>
  <si>
    <t>2452611.1995 </t>
  </si>
  <si>
    <t> 02.12.2002 16:47 </t>
  </si>
  <si>
    <t> -0.1247 </t>
  </si>
  <si>
    <t>?</t>
  </si>
  <si>
    <t> Zhu et al. </t>
  </si>
  <si>
    <t>IBVS 5486 </t>
  </si>
  <si>
    <t>2452612.2164 </t>
  </si>
  <si>
    <t> 03.12.2002 17:11 </t>
  </si>
  <si>
    <t> -0.1219 </t>
  </si>
  <si>
    <t>2452613.2250 </t>
  </si>
  <si>
    <t> 04.12.2002 17:24 </t>
  </si>
  <si>
    <t> -0.1274 </t>
  </si>
  <si>
    <t>2452696.3836 </t>
  </si>
  <si>
    <t> 25.02.2003 21:12 </t>
  </si>
  <si>
    <t> -0.1213 </t>
  </si>
  <si>
    <t>-I</t>
  </si>
  <si>
    <t>BAVM 158 </t>
  </si>
  <si>
    <t>2453387.2766 </t>
  </si>
  <si>
    <t> 16.01.2005 18:38 </t>
  </si>
  <si>
    <t>38444.5</t>
  </si>
  <si>
    <t> -0.1380 </t>
  </si>
  <si>
    <t>BAVM 173 </t>
  </si>
  <si>
    <t>2453387.6192 </t>
  </si>
  <si>
    <t> 17.01.2005 02:51 </t>
  </si>
  <si>
    <t>38445</t>
  </si>
  <si>
    <t> -0.1334 </t>
  </si>
  <si>
    <t>2453439.6725 </t>
  </si>
  <si>
    <t> 10.03.2005 04:08 </t>
  </si>
  <si>
    <t>38522</t>
  </si>
  <si>
    <t> -0.1350 </t>
  </si>
  <si>
    <t> R. Nelson </t>
  </si>
  <si>
    <t>IBVS 5672 </t>
  </si>
  <si>
    <t>2454001.4451 </t>
  </si>
  <si>
    <t> 22.09.2006 22:40 </t>
  </si>
  <si>
    <t>39353</t>
  </si>
  <si>
    <t> -0.1490 </t>
  </si>
  <si>
    <t> Moschner &amp; Frank </t>
  </si>
  <si>
    <t>BAVM 186 </t>
  </si>
  <si>
    <t>2454006.8531 </t>
  </si>
  <si>
    <t> 28.09.2006 08:28 </t>
  </si>
  <si>
    <t>39361</t>
  </si>
  <si>
    <t> -0.1493 </t>
  </si>
  <si>
    <t>R</t>
  </si>
  <si>
    <t>IBVS 5760 </t>
  </si>
  <si>
    <t>2454506.4352 </t>
  </si>
  <si>
    <t> 09.02.2008 22:26 </t>
  </si>
  <si>
    <t>40100</t>
  </si>
  <si>
    <t> -0.1585 </t>
  </si>
  <si>
    <t>BAVM 201 </t>
  </si>
  <si>
    <t>2454774.808 </t>
  </si>
  <si>
    <t> 04.11.2008 07:23 </t>
  </si>
  <si>
    <t>40497</t>
  </si>
  <si>
    <t> -0.172 </t>
  </si>
  <si>
    <t> R.Diethelm </t>
  </si>
  <si>
    <t>IBVS 5871 </t>
  </si>
  <si>
    <t>2454828.2199 </t>
  </si>
  <si>
    <t> 27.12.2008 17:16 </t>
  </si>
  <si>
    <t>40576</t>
  </si>
  <si>
    <t> -0.1674 </t>
  </si>
  <si>
    <t> J.Virtanen </t>
  </si>
  <si>
    <t>2454879.5353 </t>
  </si>
  <si>
    <t> 17.02.2009 00:50 </t>
  </si>
  <si>
    <t>40652</t>
  </si>
  <si>
    <t> -0.2308 </t>
  </si>
  <si>
    <t>IBVS 5938 </t>
  </si>
  <si>
    <t>2454880.2727 </t>
  </si>
  <si>
    <t> 17.02.2009 18:32 </t>
  </si>
  <si>
    <t>40653</t>
  </si>
  <si>
    <t> -0.1694 </t>
  </si>
  <si>
    <t> Y.Ogmen </t>
  </si>
  <si>
    <t> JAAVSO 38;85 </t>
  </si>
  <si>
    <t>2455500.8595 </t>
  </si>
  <si>
    <t> 31.10.2010 08:37 </t>
  </si>
  <si>
    <t>41571</t>
  </si>
  <si>
    <t> -0.1845 </t>
  </si>
  <si>
    <t>IBVS 5960 </t>
  </si>
  <si>
    <t>2455629.3024 </t>
  </si>
  <si>
    <t> 08.03.2011 19:15 </t>
  </si>
  <si>
    <t>41761</t>
  </si>
  <si>
    <t> -0.1886 </t>
  </si>
  <si>
    <t> L.Šmelcer </t>
  </si>
  <si>
    <t>OEJV 0137 </t>
  </si>
  <si>
    <t>2455629.3028 </t>
  </si>
  <si>
    <t> 08.03.2011 19:16 </t>
  </si>
  <si>
    <t> -0.1882 </t>
  </si>
  <si>
    <t>2455863.8830 </t>
  </si>
  <si>
    <t> 29.10.2011 09:11 </t>
  </si>
  <si>
    <t>42108</t>
  </si>
  <si>
    <t> -0.1928 </t>
  </si>
  <si>
    <t>IBVS 6011 </t>
  </si>
  <si>
    <t>2455953.4503 </t>
  </si>
  <si>
    <t> 26.01.2012 22:48 </t>
  </si>
  <si>
    <t>42240.5</t>
  </si>
  <si>
    <t> -0.2004 </t>
  </si>
  <si>
    <t> P.Frank </t>
  </si>
  <si>
    <t>BAVM 228 </t>
  </si>
  <si>
    <t>2456310.7296 </t>
  </si>
  <si>
    <t> 18.01.2013 05:30 </t>
  </si>
  <si>
    <t>42769</t>
  </si>
  <si>
    <t> -0.2066 </t>
  </si>
  <si>
    <t>IBVS 6063 </t>
  </si>
  <si>
    <t>2427397.534 </t>
  </si>
  <si>
    <t> 21.11.1933 00:48 </t>
  </si>
  <si>
    <t> 0.020 </t>
  </si>
  <si>
    <t>P </t>
  </si>
  <si>
    <t> G.Richter </t>
  </si>
  <si>
    <t> MVS 408 </t>
  </si>
  <si>
    <t>2428022.530 </t>
  </si>
  <si>
    <t> 08.08.1935 00:43 </t>
  </si>
  <si>
    <t> E.Rohlfs </t>
  </si>
  <si>
    <t> VSS 1.318 </t>
  </si>
  <si>
    <t>2428070.468 </t>
  </si>
  <si>
    <t> 24.09.1935 23:13 </t>
  </si>
  <si>
    <t> -0.041 </t>
  </si>
  <si>
    <t>2428104.359 </t>
  </si>
  <si>
    <t> 28.10.1935 20:36 </t>
  </si>
  <si>
    <t> 0.048 </t>
  </si>
  <si>
    <t>2428108.358 </t>
  </si>
  <si>
    <t> 01.11.1935 20:35 </t>
  </si>
  <si>
    <t> -0.009 </t>
  </si>
  <si>
    <t>2428246.304 </t>
  </si>
  <si>
    <t> 18.03.1936 19:17 </t>
  </si>
  <si>
    <t> 0.026 </t>
  </si>
  <si>
    <t>2428409.568 </t>
  </si>
  <si>
    <t> 29.08.1936 01:37 </t>
  </si>
  <si>
    <t> 0.027 </t>
  </si>
  <si>
    <t>2429216.378 </t>
  </si>
  <si>
    <t> 13.11.1938 21:04 </t>
  </si>
  <si>
    <t> -0.013 </t>
  </si>
  <si>
    <t>2429229.233 </t>
  </si>
  <si>
    <t> 26.11.1938 17:35 </t>
  </si>
  <si>
    <t> -0.003 </t>
  </si>
  <si>
    <t>2429330.310 </t>
  </si>
  <si>
    <t> 07.03.1939 19:26 </t>
  </si>
  <si>
    <t> 0.007 </t>
  </si>
  <si>
    <t>2429491.537 </t>
  </si>
  <si>
    <t> 16.08.1939 00:53 </t>
  </si>
  <si>
    <t> -0.001 </t>
  </si>
  <si>
    <t>2429497.582 </t>
  </si>
  <si>
    <t> 22.08.1939 01:58 </t>
  </si>
  <si>
    <t>2429691.302 </t>
  </si>
  <si>
    <t> 02.03.1940 19:14 </t>
  </si>
  <si>
    <t> -0.005 </t>
  </si>
  <si>
    <t>2429984.356 </t>
  </si>
  <si>
    <t> 20.12.1940 20:32 </t>
  </si>
  <si>
    <t>2430104.369 </t>
  </si>
  <si>
    <t> 19.04.1941 20:51 </t>
  </si>
  <si>
    <t> 0.003 </t>
  </si>
  <si>
    <t> VSS 1.319 </t>
  </si>
  <si>
    <t>2430262.564 </t>
  </si>
  <si>
    <t> 25.09.1941 01:32 </t>
  </si>
  <si>
    <t> 0.006 </t>
  </si>
  <si>
    <t>2430267.606 </t>
  </si>
  <si>
    <t> 30.09.1941 02:32 </t>
  </si>
  <si>
    <t> -0.023 </t>
  </si>
  <si>
    <t>2430621.567 </t>
  </si>
  <si>
    <t> 19.09.1942 01:36 </t>
  </si>
  <si>
    <t> 0.033 </t>
  </si>
  <si>
    <t>2430622.547 </t>
  </si>
  <si>
    <t> 20.09.1942 01:07 </t>
  </si>
  <si>
    <t>2430637.384 </t>
  </si>
  <si>
    <t> 04.10.1942 21:12 </t>
  </si>
  <si>
    <t> -0.037 </t>
  </si>
  <si>
    <t>2431000.435 </t>
  </si>
  <si>
    <t> 02.10.1943 22:26 </t>
  </si>
  <si>
    <t> -0.018 </t>
  </si>
  <si>
    <t>2431027.478 </t>
  </si>
  <si>
    <t> 29.10.1943 23:28 </t>
  </si>
  <si>
    <t> -0.016 </t>
  </si>
  <si>
    <t>2431144.488 </t>
  </si>
  <si>
    <t> 23.02.1944 23:42 </t>
  </si>
  <si>
    <t> 0.039 </t>
  </si>
  <si>
    <t>2431448.665 </t>
  </si>
  <si>
    <t> 24.12.1944 03:57 </t>
  </si>
  <si>
    <t> -0.000 </t>
  </si>
  <si>
    <t>2431450.675 </t>
  </si>
  <si>
    <t> 26.12.1944 04:12 </t>
  </si>
  <si>
    <t>2431530.422 </t>
  </si>
  <si>
    <t> 15.03.1945 22:07 </t>
  </si>
  <si>
    <t> -0.044 </t>
  </si>
  <si>
    <t>2431710.612 </t>
  </si>
  <si>
    <t> 12.09.1945 02:41 </t>
  </si>
  <si>
    <t> -0.017 </t>
  </si>
  <si>
    <t>2432838.574 </t>
  </si>
  <si>
    <t> 14.10.1948 01:46 </t>
  </si>
  <si>
    <t>2432882.525 </t>
  </si>
  <si>
    <t> 27.11.1948 00:36 </t>
  </si>
  <si>
    <t> -0.014 </t>
  </si>
  <si>
    <t>2434451.328 </t>
  </si>
  <si>
    <t> 14.03.1953 19:52 </t>
  </si>
  <si>
    <t> 0.045 </t>
  </si>
  <si>
    <t>2434661.481 </t>
  </si>
  <si>
    <t> 10.10.1953 23:32 </t>
  </si>
  <si>
    <t> -0.049 </t>
  </si>
  <si>
    <t>2434766.348 </t>
  </si>
  <si>
    <t> 23.01.1954 20:21 </t>
  </si>
  <si>
    <t> 0.032 </t>
  </si>
  <si>
    <t>2434770.397 </t>
  </si>
  <si>
    <t> 27.01.1954 21:31 </t>
  </si>
  <si>
    <t> 0.025 </t>
  </si>
  <si>
    <t>2435900.344 </t>
  </si>
  <si>
    <t> 02.03.1957 20:15 </t>
  </si>
  <si>
    <t> -0.024 </t>
  </si>
  <si>
    <t>2436132.275 </t>
  </si>
  <si>
    <t> 20.10.1957 18:36 </t>
  </si>
  <si>
    <t>F </t>
  </si>
  <si>
    <t>2436132.587 </t>
  </si>
  <si>
    <t> 21.10.1957 02:05 </t>
  </si>
  <si>
    <t> 0.000 </t>
  </si>
  <si>
    <t>2436137.320 </t>
  </si>
  <si>
    <t> 25.10.1957 19:40 </t>
  </si>
  <si>
    <t> 0.001 </t>
  </si>
  <si>
    <t>2436137.650 </t>
  </si>
  <si>
    <t> 26.10.1957 03:36 </t>
  </si>
  <si>
    <t> -0.007 </t>
  </si>
  <si>
    <t>2436138.340 </t>
  </si>
  <si>
    <t> 26.10.1957 20:09 </t>
  </si>
  <si>
    <t>2436138.665 </t>
  </si>
  <si>
    <t> 27.10.1957 03:57 </t>
  </si>
  <si>
    <t> -0.006 </t>
  </si>
  <si>
    <t>2436159.310 </t>
  </si>
  <si>
    <t> 16.11.1957 19:26 </t>
  </si>
  <si>
    <t>2436164.360 </t>
  </si>
  <si>
    <t> 21.11.1957 20:38 </t>
  </si>
  <si>
    <t>2436172.475 </t>
  </si>
  <si>
    <t> 29.11.1957 23:24 </t>
  </si>
  <si>
    <t> 0.002 </t>
  </si>
  <si>
    <t>2436183.296 </t>
  </si>
  <si>
    <t> 10.12.1957 19:06 </t>
  </si>
  <si>
    <t>2436229.640 </t>
  </si>
  <si>
    <t> 26.01.1958 03:21 </t>
  </si>
  <si>
    <t> 0.042 </t>
  </si>
  <si>
    <t>2436231.295 </t>
  </si>
  <si>
    <t> 27.01.1958 19:04 </t>
  </si>
  <si>
    <t>2436231.630 </t>
  </si>
  <si>
    <t> 28.01.1958 03:07 </t>
  </si>
  <si>
    <t>2436232.281 </t>
  </si>
  <si>
    <t> 28.01.1958 18:44 </t>
  </si>
  <si>
    <t> -0.021 </t>
  </si>
  <si>
    <t>2436245.490 </t>
  </si>
  <si>
    <t> 10.02.1958 23:45 </t>
  </si>
  <si>
    <t> 0.005 </t>
  </si>
  <si>
    <t>2449005.2907 </t>
  </si>
  <si>
    <t> 17.01.1993 18:58 </t>
  </si>
  <si>
    <t> -0.0527 </t>
  </si>
  <si>
    <t>G</t>
  </si>
  <si>
    <t>BAVM 62 </t>
  </si>
  <si>
    <t>2449005.2926 </t>
  </si>
  <si>
    <t> 17.01.1993 19:01 </t>
  </si>
  <si>
    <t> -0.0508 </t>
  </si>
  <si>
    <t>2449310.5157 </t>
  </si>
  <si>
    <t> 19.11.1993 00:22 </t>
  </si>
  <si>
    <t> -0.0584 </t>
  </si>
  <si>
    <t>B</t>
  </si>
  <si>
    <t>BAVM 68 </t>
  </si>
  <si>
    <t>2449310.5166 </t>
  </si>
  <si>
    <t> 19.11.1993 00:23 </t>
  </si>
  <si>
    <t> -0.0575 </t>
  </si>
  <si>
    <t>2451249.3566 </t>
  </si>
  <si>
    <t> 11.03.1999 20:33 </t>
  </si>
  <si>
    <t> -0.0913 </t>
  </si>
  <si>
    <t>BAVM 128 </t>
  </si>
  <si>
    <t>2451249.3595 </t>
  </si>
  <si>
    <t> 11.03.1999 20:37 </t>
  </si>
  <si>
    <t> -0.0884 </t>
  </si>
  <si>
    <t>2453055.0117 </t>
  </si>
  <si>
    <t> 19.02.2004 12:16 </t>
  </si>
  <si>
    <t>37953</t>
  </si>
  <si>
    <t> -0.1308 </t>
  </si>
  <si>
    <t>2455155.4131 </t>
  </si>
  <si>
    <t> 19.11.2009 21:54 </t>
  </si>
  <si>
    <t>41060</t>
  </si>
  <si>
    <t> -0.1760 </t>
  </si>
  <si>
    <t>BAVM 212 </t>
  </si>
  <si>
    <t>IK Per / GSC 02887-02716</t>
  </si>
  <si>
    <t>EB</t>
  </si>
  <si>
    <t>This line fits well.</t>
  </si>
  <si>
    <t>My time zone &gt;&gt;&gt;&gt;&gt;</t>
  </si>
  <si>
    <t>(PST=8, PDT=MDT=7, MDT=CST=6, etc.)</t>
  </si>
  <si>
    <t>See also the next page.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</si>
  <si>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</si>
  <si>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</si>
  <si>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</si>
  <si>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</si>
  <si>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</si>
  <si>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</si>
  <si>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</si>
  <si>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BAD?</t>
  </si>
  <si>
    <t>IBVS 5486</t>
  </si>
  <si>
    <t>JAVSO..37...44</t>
  </si>
  <si>
    <t>2013JAVSO..41..122</t>
  </si>
  <si>
    <t>IBVS 5657</t>
  </si>
  <si>
    <t>IBVS 5802</t>
  </si>
  <si>
    <t>IBVS 5760</t>
  </si>
  <si>
    <t>IBVS 5874</t>
  </si>
  <si>
    <t>IBVS 5871</t>
  </si>
  <si>
    <t>IBVS 5938</t>
  </si>
  <si>
    <t>JAVSO..38...85</t>
  </si>
  <si>
    <t>IBVS 5960</t>
  </si>
  <si>
    <t>OEJV 0137</t>
  </si>
  <si>
    <t>IBVS 6011</t>
  </si>
  <si>
    <t>IBVS 6048</t>
  </si>
  <si>
    <t>IBVS 6063</t>
  </si>
  <si>
    <t>IBVS 6234</t>
  </si>
  <si>
    <t>RHN 2019</t>
  </si>
  <si>
    <t>OEJV 0211</t>
  </si>
  <si>
    <t>Best fit line does not</t>
  </si>
  <si>
    <t>pass through error bars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</si>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</sst>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\$#,##0_);&quot;($&quot;#,##0\)"/>
    <numFmt numFmtId="173" formatCode="m/d/yyyy"/>
    <numFmt numFmtId="174" formatCode="m/d/yyyy\ h:mm"/>
    <numFmt numFmtId="175" formatCode="dd/mm/yyyy"/>
    <numFmt numFmtId="176" formatCode="0.00000"/>
  </numFmts>
  <fonts count="17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7">
    <xf numFmtId="0" fontId="0" fillId="0" borderId="0">
      <alignment vertical="top"/>
    </xf>
    <xf numFmtId="3" fontId="15" fillId="0" borderId="0" applyFill="0" applyBorder="0" applyProtection="0">
      <alignment vertical="top"/>
    </xf>
    <xf numFmtId="172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15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/>
    <xf numFmtId="173" fontId="0" fillId="0" borderId="0" xfId="0" applyNumberFormat="1" applyAlignment="1"/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7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7" fillId="2" borderId="10" xfId="5" applyNumberFormat="1" applyFont="1" applyFill="1" applyBorder="1" applyAlignment="1" applyProtection="1">
      <alignment horizontal="right" vertical="top" wrapText="1"/>
    </xf>
    <xf numFmtId="0" fontId="5" fillId="0" borderId="11" xfId="0" applyFont="1" applyBorder="1" applyAlignment="1">
      <alignment vertical="center"/>
    </xf>
    <xf numFmtId="0" fontId="8" fillId="0" borderId="0" xfId="0" applyFont="1" applyAlignment="1"/>
    <xf numFmtId="0" fontId="9" fillId="0" borderId="0" xfId="0" applyFont="1">
      <alignment vertical="top"/>
    </xf>
    <xf numFmtId="0" fontId="8" fillId="0" borderId="0" xfId="0" applyFont="1">
      <alignment vertical="top"/>
    </xf>
    <xf numFmtId="0" fontId="10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3" fillId="0" borderId="0" xfId="0" applyFont="1">
      <alignment vertical="top"/>
    </xf>
    <xf numFmtId="0" fontId="4" fillId="0" borderId="0" xfId="0" applyFont="1" applyAlignment="1">
      <alignment horizontal="center"/>
    </xf>
    <xf numFmtId="0" fontId="10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74" fontId="4" fillId="0" borderId="0" xfId="0" applyNumberFormat="1" applyFont="1">
      <alignment vertical="top"/>
    </xf>
    <xf numFmtId="0" fontId="3" fillId="0" borderId="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1" fillId="3" borderId="0" xfId="0" applyFont="1" applyFill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5" fillId="0" borderId="0" xfId="0" applyFont="1" applyFill="1" applyAlignment="1"/>
    <xf numFmtId="0" fontId="4" fillId="4" borderId="0" xfId="0" applyFont="1" applyFill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4" fillId="0" borderId="0" xfId="0" applyFont="1" applyAlignment="1"/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175" fontId="0" fillId="0" borderId="0" xfId="0" applyNumberFormat="1" applyAlignme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6" fontId="16" fillId="0" borderId="0" xfId="0" applyNumberFormat="1" applyFont="1" applyAlignment="1">
      <alignment vertical="center" wrapText="1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786414562257387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54067041595625"/>
          <c:y val="0.23511007774245343"/>
          <c:w val="0.81068089268698906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Active!$H$21:$H$112</c:f>
              <c:numCache>
                <c:formatCode>General</c:formatCode>
                <c:ptCount val="92"/>
                <c:pt idx="0">
                  <c:v>-0.67601355230362969</c:v>
                </c:pt>
                <c:pt idx="1">
                  <c:v>-0.65601355230319314</c:v>
                </c:pt>
                <c:pt idx="2">
                  <c:v>-0.63454265683685662</c:v>
                </c:pt>
                <c:pt idx="3">
                  <c:v>-0.69350487037809216</c:v>
                </c:pt>
                <c:pt idx="4">
                  <c:v>-0.60318248555267928</c:v>
                </c:pt>
                <c:pt idx="5">
                  <c:v>-0.6602637993710232</c:v>
                </c:pt>
                <c:pt idx="6">
                  <c:v>-0.6210284692751884</c:v>
                </c:pt>
                <c:pt idx="7">
                  <c:v>-0.61430135055707069</c:v>
                </c:pt>
                <c:pt idx="8">
                  <c:v>-0.62647602471406572</c:v>
                </c:pt>
                <c:pt idx="9">
                  <c:v>-0.61573351847982849</c:v>
                </c:pt>
                <c:pt idx="10">
                  <c:v>-0.60275958784404793</c:v>
                </c:pt>
                <c:pt idx="11">
                  <c:v>-0.60499181221530307</c:v>
                </c:pt>
                <c:pt idx="12">
                  <c:v>-0.64411378294607857</c:v>
                </c:pt>
                <c:pt idx="13">
                  <c:v>-0.6019965178820712</c:v>
                </c:pt>
                <c:pt idx="14">
                  <c:v>-0.59987144142360194</c:v>
                </c:pt>
                <c:pt idx="15">
                  <c:v>-0.57927697528793942</c:v>
                </c:pt>
                <c:pt idx="16">
                  <c:v>-0.57144821429392323</c:v>
                </c:pt>
                <c:pt idx="17">
                  <c:v>-0.59954985656804638</c:v>
                </c:pt>
                <c:pt idx="18">
                  <c:v>-0.53164448741881642</c:v>
                </c:pt>
                <c:pt idx="19">
                  <c:v>-0.53164448741881642</c:v>
                </c:pt>
                <c:pt idx="20">
                  <c:v>-0.56566481587651651</c:v>
                </c:pt>
                <c:pt idx="21">
                  <c:v>-0.6009629665495595</c:v>
                </c:pt>
                <c:pt idx="22">
                  <c:v>-0.56924055349736591</c:v>
                </c:pt>
                <c:pt idx="23">
                  <c:v>-0.56678264563743141</c:v>
                </c:pt>
                <c:pt idx="24">
                  <c:v>-0.50712719413058949</c:v>
                </c:pt>
                <c:pt idx="25">
                  <c:v>-0.53622573068059864</c:v>
                </c:pt>
                <c:pt idx="26">
                  <c:v>-0.55426638758945046</c:v>
                </c:pt>
                <c:pt idx="27">
                  <c:v>-0.57686555939653772</c:v>
                </c:pt>
                <c:pt idx="28">
                  <c:v>-0.54447724826241028</c:v>
                </c:pt>
                <c:pt idx="29">
                  <c:v>-0.51108926655433606</c:v>
                </c:pt>
                <c:pt idx="30">
                  <c:v>-0.50097016627842095</c:v>
                </c:pt>
                <c:pt idx="31">
                  <c:v>-0.387418286416505</c:v>
                </c:pt>
                <c:pt idx="32">
                  <c:v>-0.47463305278506596</c:v>
                </c:pt>
                <c:pt idx="33">
                  <c:v>-0.38973365982383257</c:v>
                </c:pt>
                <c:pt idx="34">
                  <c:v>-0.39681497364654206</c:v>
                </c:pt>
                <c:pt idx="35">
                  <c:v>-0.40646764884877484</c:v>
                </c:pt>
                <c:pt idx="36">
                  <c:v>-0.34811608892778168</c:v>
                </c:pt>
                <c:pt idx="37">
                  <c:v>-0.37412286507606041</c:v>
                </c:pt>
                <c:pt idx="38">
                  <c:v>-0.37321773120493162</c:v>
                </c:pt>
                <c:pt idx="39">
                  <c:v>-0.38122450735681923</c:v>
                </c:pt>
                <c:pt idx="40">
                  <c:v>-0.3672380596617586</c:v>
                </c:pt>
                <c:pt idx="41">
                  <c:v>-0.38024483581102686</c:v>
                </c:pt>
                <c:pt idx="42">
                  <c:v>-0.353658181069477</c:v>
                </c:pt>
                <c:pt idx="43">
                  <c:v>-0.37375982334197033</c:v>
                </c:pt>
                <c:pt idx="44">
                  <c:v>-0.37092245098756393</c:v>
                </c:pt>
                <c:pt idx="45">
                  <c:v>-0.36613928783481242</c:v>
                </c:pt>
                <c:pt idx="46">
                  <c:v>-0.32906762062339112</c:v>
                </c:pt>
                <c:pt idx="47">
                  <c:v>-0.3641015013854485</c:v>
                </c:pt>
                <c:pt idx="48">
                  <c:v>-0.36710827753267949</c:v>
                </c:pt>
                <c:pt idx="49">
                  <c:v>-0.39212182983465027</c:v>
                </c:pt>
                <c:pt idx="50">
                  <c:v>-0.36538609975832514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D-4C72-AFAD-18803B05A1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Active!$I$21:$I$112</c:f>
              <c:numCache>
                <c:formatCode>General</c:formatCode>
                <c:ptCount val="92"/>
                <c:pt idx="51">
                  <c:v>-0.26211891241837293</c:v>
                </c:pt>
                <c:pt idx="52">
                  <c:v>-0.26712568857328733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DD-4C72-AFAD-18803B05A19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Active!$J$21:$J$112</c:f>
              <c:numCache>
                <c:formatCode>General</c:formatCode>
                <c:ptCount val="92"/>
                <c:pt idx="53">
                  <c:v>1.7520948924357072E-2</c:v>
                </c:pt>
                <c:pt idx="55">
                  <c:v>1.9420948927290738E-2</c:v>
                </c:pt>
                <c:pt idx="56">
                  <c:v>2.2402083923225291E-2</c:v>
                </c:pt>
                <c:pt idx="58">
                  <c:v>2.3302083922317252E-2</c:v>
                </c:pt>
                <c:pt idx="60">
                  <c:v>5.6434077647281811E-2</c:v>
                </c:pt>
                <c:pt idx="61">
                  <c:v>5.7834077648294624E-2</c:v>
                </c:pt>
                <c:pt idx="62">
                  <c:v>5.9334077646781225E-2</c:v>
                </c:pt>
                <c:pt idx="63">
                  <c:v>6.030247441958636E-2</c:v>
                </c:pt>
                <c:pt idx="64">
                  <c:v>6.782243111229036E-2</c:v>
                </c:pt>
                <c:pt idx="70">
                  <c:v>7.6425372128142044E-2</c:v>
                </c:pt>
                <c:pt idx="72">
                  <c:v>8.3574918011436239E-2</c:v>
                </c:pt>
                <c:pt idx="73">
                  <c:v>8.8168141868663952E-2</c:v>
                </c:pt>
                <c:pt idx="75">
                  <c:v>9.3762650329153985E-2</c:v>
                </c:pt>
                <c:pt idx="77">
                  <c:v>0.1017390796696418</c:v>
                </c:pt>
                <c:pt idx="87">
                  <c:v>0.1098303741455311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DD-4C72-AFAD-18803B05A19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Active!$K$21:$K$112</c:f>
              <c:numCache>
                <c:formatCode>General</c:formatCode>
                <c:ptCount val="92"/>
                <c:pt idx="54">
                  <c:v>1.8520948928198777E-2</c:v>
                </c:pt>
                <c:pt idx="57">
                  <c:v>2.3002083922619931E-2</c:v>
                </c:pt>
                <c:pt idx="65">
                  <c:v>7.3559831704187673E-2</c:v>
                </c:pt>
                <c:pt idx="66">
                  <c:v>7.825881057215156E-2</c:v>
                </c:pt>
                <c:pt idx="67">
                  <c:v>7.0032962365075946E-2</c:v>
                </c:pt>
                <c:pt idx="68">
                  <c:v>7.2912633906526025E-2</c:v>
                </c:pt>
                <c:pt idx="69">
                  <c:v>6.7492305453924928E-2</c:v>
                </c:pt>
                <c:pt idx="71">
                  <c:v>7.9335875154356472E-2</c:v>
                </c:pt>
                <c:pt idx="74">
                  <c:v>8.8424614499672316E-2</c:v>
                </c:pt>
                <c:pt idx="76">
                  <c:v>9.3654231910477392E-2</c:v>
                </c:pt>
                <c:pt idx="78">
                  <c:v>9.7158815195143688E-2</c:v>
                </c:pt>
                <c:pt idx="79">
                  <c:v>0.10398818322573788</c:v>
                </c:pt>
                <c:pt idx="81">
                  <c:v>0.10374465586210135</c:v>
                </c:pt>
                <c:pt idx="82">
                  <c:v>0.10662886835780228</c:v>
                </c:pt>
                <c:pt idx="83">
                  <c:v>0.11010364130197559</c:v>
                </c:pt>
                <c:pt idx="84">
                  <c:v>0.11042870365054114</c:v>
                </c:pt>
                <c:pt idx="85">
                  <c:v>0.11082870364771225</c:v>
                </c:pt>
                <c:pt idx="86">
                  <c:v>0.11432605435402365</c:v>
                </c:pt>
                <c:pt idx="88">
                  <c:v>0.11596798177924938</c:v>
                </c:pt>
                <c:pt idx="89">
                  <c:v>0.12925895841908641</c:v>
                </c:pt>
                <c:pt idx="90">
                  <c:v>0.13426464541407768</c:v>
                </c:pt>
                <c:pt idx="91">
                  <c:v>0.14227024982392322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DD-4C72-AFAD-18803B05A19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Active!$L$21:$L$112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DD-4C72-AFAD-18803B05A1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Active!$M$21:$M$112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DD-4C72-AFAD-18803B05A1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Active!$N$21:$N$112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DD-4C72-AFAD-18803B05A1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Active!$O$21:$O$112</c:f>
              <c:numCache>
                <c:formatCode>General</c:formatCode>
                <c:ptCount val="92"/>
                <c:pt idx="68">
                  <c:v>8.0449185322229527E-2</c:v>
                </c:pt>
                <c:pt idx="69">
                  <c:v>8.0459186448061298E-2</c:v>
                </c:pt>
                <c:pt idx="70">
                  <c:v>8.1279278766267476E-2</c:v>
                </c:pt>
                <c:pt idx="71">
                  <c:v>8.4816343602107908E-2</c:v>
                </c:pt>
                <c:pt idx="72">
                  <c:v>8.8093379166322011E-2</c:v>
                </c:pt>
                <c:pt idx="73">
                  <c:v>8.809671287493262E-2</c:v>
                </c:pt>
                <c:pt idx="74">
                  <c:v>8.8610104000964113E-2</c:v>
                </c:pt>
                <c:pt idx="75">
                  <c:v>9.4150727711771659E-2</c:v>
                </c:pt>
                <c:pt idx="76">
                  <c:v>9.4204067049541179E-2</c:v>
                </c:pt>
                <c:pt idx="77">
                  <c:v>9.913128837599941E-2</c:v>
                </c:pt>
                <c:pt idx="78">
                  <c:v>0.10177825301281115</c:v>
                </c:pt>
                <c:pt idx="79">
                  <c:v>0.10230497897328508</c:v>
                </c:pt>
                <c:pt idx="80">
                  <c:v>0.10281170268209536</c:v>
                </c:pt>
                <c:pt idx="81">
                  <c:v>0.10281837009931658</c:v>
                </c:pt>
                <c:pt idx="82">
                  <c:v>0.10553200890834022</c:v>
                </c:pt>
                <c:pt idx="83">
                  <c:v>0.10893905910836751</c:v>
                </c:pt>
                <c:pt idx="84">
                  <c:v>0.11020586838039328</c:v>
                </c:pt>
                <c:pt idx="85">
                  <c:v>0.11020586838039328</c:v>
                </c:pt>
                <c:pt idx="86">
                  <c:v>0.11251946215614569</c:v>
                </c:pt>
                <c:pt idx="87">
                  <c:v>0.11340289493795311</c:v>
                </c:pt>
                <c:pt idx="88">
                  <c:v>0.11692662493935121</c:v>
                </c:pt>
                <c:pt idx="89">
                  <c:v>0.13009144024258765</c:v>
                </c:pt>
                <c:pt idx="90">
                  <c:v>0.13468862441659704</c:v>
                </c:pt>
                <c:pt idx="91">
                  <c:v>0.141622738326633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DD-4C72-AFAD-18803B05A19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Active!$U$21:$U$112</c:f>
              <c:numCache>
                <c:formatCode>General</c:formatCode>
                <c:ptCount val="92"/>
                <c:pt idx="59">
                  <c:v>7.9043667807127349E-2</c:v>
                </c:pt>
                <c:pt idx="80">
                  <c:v>4.2358208171208389E-2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DD-4C72-AFAD-18803B05A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947640"/>
        <c:axId val="1"/>
      </c:scatterChart>
      <c:valAx>
        <c:axId val="367947640"/>
        <c:scaling>
          <c:orientation val="minMax"/>
          <c:min val="3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4583322715726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476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06813104672596"/>
          <c:y val="0.90909222554077285"/>
          <c:w val="0.7783183412753017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796449272596983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23511007774245343"/>
          <c:w val="0.81421712046357564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Active!$H$21:$H$112</c:f>
              <c:numCache>
                <c:formatCode>General</c:formatCode>
                <c:ptCount val="92"/>
                <c:pt idx="0">
                  <c:v>-0.67601355230362969</c:v>
                </c:pt>
                <c:pt idx="1">
                  <c:v>-0.65601355230319314</c:v>
                </c:pt>
                <c:pt idx="2">
                  <c:v>-0.63454265683685662</c:v>
                </c:pt>
                <c:pt idx="3">
                  <c:v>-0.69350487037809216</c:v>
                </c:pt>
                <c:pt idx="4">
                  <c:v>-0.60318248555267928</c:v>
                </c:pt>
                <c:pt idx="5">
                  <c:v>-0.6602637993710232</c:v>
                </c:pt>
                <c:pt idx="6">
                  <c:v>-0.6210284692751884</c:v>
                </c:pt>
                <c:pt idx="7">
                  <c:v>-0.61430135055707069</c:v>
                </c:pt>
                <c:pt idx="8">
                  <c:v>-0.62647602471406572</c:v>
                </c:pt>
                <c:pt idx="9">
                  <c:v>-0.61573351847982849</c:v>
                </c:pt>
                <c:pt idx="10">
                  <c:v>-0.60275958784404793</c:v>
                </c:pt>
                <c:pt idx="11">
                  <c:v>-0.60499181221530307</c:v>
                </c:pt>
                <c:pt idx="12">
                  <c:v>-0.64411378294607857</c:v>
                </c:pt>
                <c:pt idx="13">
                  <c:v>-0.6019965178820712</c:v>
                </c:pt>
                <c:pt idx="14">
                  <c:v>-0.59987144142360194</c:v>
                </c:pt>
                <c:pt idx="15">
                  <c:v>-0.57927697528793942</c:v>
                </c:pt>
                <c:pt idx="16">
                  <c:v>-0.57144821429392323</c:v>
                </c:pt>
                <c:pt idx="17">
                  <c:v>-0.59954985656804638</c:v>
                </c:pt>
                <c:pt idx="18">
                  <c:v>-0.53164448741881642</c:v>
                </c:pt>
                <c:pt idx="19">
                  <c:v>-0.53164448741881642</c:v>
                </c:pt>
                <c:pt idx="20">
                  <c:v>-0.56566481587651651</c:v>
                </c:pt>
                <c:pt idx="21">
                  <c:v>-0.6009629665495595</c:v>
                </c:pt>
                <c:pt idx="22">
                  <c:v>-0.56924055349736591</c:v>
                </c:pt>
                <c:pt idx="23">
                  <c:v>-0.56678264563743141</c:v>
                </c:pt>
                <c:pt idx="24">
                  <c:v>-0.50712719413058949</c:v>
                </c:pt>
                <c:pt idx="25">
                  <c:v>-0.53622573068059864</c:v>
                </c:pt>
                <c:pt idx="26">
                  <c:v>-0.55426638758945046</c:v>
                </c:pt>
                <c:pt idx="27">
                  <c:v>-0.57686555939653772</c:v>
                </c:pt>
                <c:pt idx="28">
                  <c:v>-0.54447724826241028</c:v>
                </c:pt>
                <c:pt idx="29">
                  <c:v>-0.51108926655433606</c:v>
                </c:pt>
                <c:pt idx="30">
                  <c:v>-0.50097016627842095</c:v>
                </c:pt>
                <c:pt idx="31">
                  <c:v>-0.387418286416505</c:v>
                </c:pt>
                <c:pt idx="32">
                  <c:v>-0.47463305278506596</c:v>
                </c:pt>
                <c:pt idx="33">
                  <c:v>-0.38973365982383257</c:v>
                </c:pt>
                <c:pt idx="34">
                  <c:v>-0.39681497364654206</c:v>
                </c:pt>
                <c:pt idx="35">
                  <c:v>-0.40646764884877484</c:v>
                </c:pt>
                <c:pt idx="36">
                  <c:v>-0.34811608892778168</c:v>
                </c:pt>
                <c:pt idx="37">
                  <c:v>-0.37412286507606041</c:v>
                </c:pt>
                <c:pt idx="38">
                  <c:v>-0.37321773120493162</c:v>
                </c:pt>
                <c:pt idx="39">
                  <c:v>-0.38122450735681923</c:v>
                </c:pt>
                <c:pt idx="40">
                  <c:v>-0.3672380596617586</c:v>
                </c:pt>
                <c:pt idx="41">
                  <c:v>-0.38024483581102686</c:v>
                </c:pt>
                <c:pt idx="42">
                  <c:v>-0.353658181069477</c:v>
                </c:pt>
                <c:pt idx="43">
                  <c:v>-0.37375982334197033</c:v>
                </c:pt>
                <c:pt idx="44">
                  <c:v>-0.37092245098756393</c:v>
                </c:pt>
                <c:pt idx="45">
                  <c:v>-0.36613928783481242</c:v>
                </c:pt>
                <c:pt idx="46">
                  <c:v>-0.32906762062339112</c:v>
                </c:pt>
                <c:pt idx="47">
                  <c:v>-0.3641015013854485</c:v>
                </c:pt>
                <c:pt idx="48">
                  <c:v>-0.36710827753267949</c:v>
                </c:pt>
                <c:pt idx="49">
                  <c:v>-0.39212182983465027</c:v>
                </c:pt>
                <c:pt idx="50">
                  <c:v>-0.36538609975832514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0B-48E8-A85E-355171604F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Active!$I$21:$I$112</c:f>
              <c:numCache>
                <c:formatCode>General</c:formatCode>
                <c:ptCount val="92"/>
                <c:pt idx="51">
                  <c:v>-0.26211891241837293</c:v>
                </c:pt>
                <c:pt idx="52">
                  <c:v>-0.26712568857328733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0B-48E8-A85E-355171604F7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Active!$J$21:$J$112</c:f>
              <c:numCache>
                <c:formatCode>General</c:formatCode>
                <c:ptCount val="92"/>
                <c:pt idx="53">
                  <c:v>1.7520948924357072E-2</c:v>
                </c:pt>
                <c:pt idx="55">
                  <c:v>1.9420948927290738E-2</c:v>
                </c:pt>
                <c:pt idx="56">
                  <c:v>2.2402083923225291E-2</c:v>
                </c:pt>
                <c:pt idx="58">
                  <c:v>2.3302083922317252E-2</c:v>
                </c:pt>
                <c:pt idx="60">
                  <c:v>5.6434077647281811E-2</c:v>
                </c:pt>
                <c:pt idx="61">
                  <c:v>5.7834077648294624E-2</c:v>
                </c:pt>
                <c:pt idx="62">
                  <c:v>5.9334077646781225E-2</c:v>
                </c:pt>
                <c:pt idx="63">
                  <c:v>6.030247441958636E-2</c:v>
                </c:pt>
                <c:pt idx="64">
                  <c:v>6.782243111229036E-2</c:v>
                </c:pt>
                <c:pt idx="70">
                  <c:v>7.6425372128142044E-2</c:v>
                </c:pt>
                <c:pt idx="72">
                  <c:v>8.3574918011436239E-2</c:v>
                </c:pt>
                <c:pt idx="73">
                  <c:v>8.8168141868663952E-2</c:v>
                </c:pt>
                <c:pt idx="75">
                  <c:v>9.3762650329153985E-2</c:v>
                </c:pt>
                <c:pt idx="77">
                  <c:v>0.1017390796696418</c:v>
                </c:pt>
                <c:pt idx="87">
                  <c:v>0.1098303741455311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0B-48E8-A85E-355171604F7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Active!$K$21:$K$112</c:f>
              <c:numCache>
                <c:formatCode>General</c:formatCode>
                <c:ptCount val="92"/>
                <c:pt idx="54">
                  <c:v>1.8520948928198777E-2</c:v>
                </c:pt>
                <c:pt idx="57">
                  <c:v>2.3002083922619931E-2</c:v>
                </c:pt>
                <c:pt idx="65">
                  <c:v>7.3559831704187673E-2</c:v>
                </c:pt>
                <c:pt idx="66">
                  <c:v>7.825881057215156E-2</c:v>
                </c:pt>
                <c:pt idx="67">
                  <c:v>7.0032962365075946E-2</c:v>
                </c:pt>
                <c:pt idx="68">
                  <c:v>7.2912633906526025E-2</c:v>
                </c:pt>
                <c:pt idx="69">
                  <c:v>6.7492305453924928E-2</c:v>
                </c:pt>
                <c:pt idx="71">
                  <c:v>7.9335875154356472E-2</c:v>
                </c:pt>
                <c:pt idx="74">
                  <c:v>8.8424614499672316E-2</c:v>
                </c:pt>
                <c:pt idx="76">
                  <c:v>9.3654231910477392E-2</c:v>
                </c:pt>
                <c:pt idx="78">
                  <c:v>9.7158815195143688E-2</c:v>
                </c:pt>
                <c:pt idx="79">
                  <c:v>0.10398818322573788</c:v>
                </c:pt>
                <c:pt idx="81">
                  <c:v>0.10374465586210135</c:v>
                </c:pt>
                <c:pt idx="82">
                  <c:v>0.10662886835780228</c:v>
                </c:pt>
                <c:pt idx="83">
                  <c:v>0.11010364130197559</c:v>
                </c:pt>
                <c:pt idx="84">
                  <c:v>0.11042870365054114</c:v>
                </c:pt>
                <c:pt idx="85">
                  <c:v>0.11082870364771225</c:v>
                </c:pt>
                <c:pt idx="86">
                  <c:v>0.11432605435402365</c:v>
                </c:pt>
                <c:pt idx="88">
                  <c:v>0.11596798177924938</c:v>
                </c:pt>
                <c:pt idx="89">
                  <c:v>0.12925895841908641</c:v>
                </c:pt>
                <c:pt idx="90">
                  <c:v>0.13426464541407768</c:v>
                </c:pt>
                <c:pt idx="91">
                  <c:v>0.14227024982392322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0B-48E8-A85E-355171604F7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Active!$L$21:$L$112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0B-48E8-A85E-355171604F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Active!$M$21:$M$112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0B-48E8-A85E-355171604F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Active!$N$21:$N$112</c:f>
              <c:numCache>
                <c:formatCode>General</c:formatCode>
                <c:ptCount val="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0B-48E8-A85E-355171604F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Active!$O$21:$O$112</c:f>
              <c:numCache>
                <c:formatCode>General</c:formatCode>
                <c:ptCount val="92"/>
                <c:pt idx="68">
                  <c:v>8.0449185322229527E-2</c:v>
                </c:pt>
                <c:pt idx="69">
                  <c:v>8.0459186448061298E-2</c:v>
                </c:pt>
                <c:pt idx="70">
                  <c:v>8.1279278766267476E-2</c:v>
                </c:pt>
                <c:pt idx="71">
                  <c:v>8.4816343602107908E-2</c:v>
                </c:pt>
                <c:pt idx="72">
                  <c:v>8.8093379166322011E-2</c:v>
                </c:pt>
                <c:pt idx="73">
                  <c:v>8.809671287493262E-2</c:v>
                </c:pt>
                <c:pt idx="74">
                  <c:v>8.8610104000964113E-2</c:v>
                </c:pt>
                <c:pt idx="75">
                  <c:v>9.4150727711771659E-2</c:v>
                </c:pt>
                <c:pt idx="76">
                  <c:v>9.4204067049541179E-2</c:v>
                </c:pt>
                <c:pt idx="77">
                  <c:v>9.913128837599941E-2</c:v>
                </c:pt>
                <c:pt idx="78">
                  <c:v>0.10177825301281115</c:v>
                </c:pt>
                <c:pt idx="79">
                  <c:v>0.10230497897328508</c:v>
                </c:pt>
                <c:pt idx="80">
                  <c:v>0.10281170268209536</c:v>
                </c:pt>
                <c:pt idx="81">
                  <c:v>0.10281837009931658</c:v>
                </c:pt>
                <c:pt idx="82">
                  <c:v>0.10553200890834022</c:v>
                </c:pt>
                <c:pt idx="83">
                  <c:v>0.10893905910836751</c:v>
                </c:pt>
                <c:pt idx="84">
                  <c:v>0.11020586838039328</c:v>
                </c:pt>
                <c:pt idx="85">
                  <c:v>0.11020586838039328</c:v>
                </c:pt>
                <c:pt idx="86">
                  <c:v>0.11251946215614569</c:v>
                </c:pt>
                <c:pt idx="87">
                  <c:v>0.11340289493795311</c:v>
                </c:pt>
                <c:pt idx="88">
                  <c:v>0.11692662493935121</c:v>
                </c:pt>
                <c:pt idx="89">
                  <c:v>0.13009144024258765</c:v>
                </c:pt>
                <c:pt idx="90">
                  <c:v>0.13468862441659704</c:v>
                </c:pt>
                <c:pt idx="91">
                  <c:v>0.141622738326633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0B-48E8-A85E-355171604F7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Active!$F$21:$F$112</c:f>
              <c:numCache>
                <c:formatCode>General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925.5</c:v>
                </c:pt>
                <c:pt idx="3">
                  <c:v>996.5</c:v>
                </c:pt>
                <c:pt idx="4">
                  <c:v>1046.5</c:v>
                </c:pt>
                <c:pt idx="5">
                  <c:v>1052.5</c:v>
                </c:pt>
                <c:pt idx="6">
                  <c:v>1256.5</c:v>
                </c:pt>
                <c:pt idx="7">
                  <c:v>1498</c:v>
                </c:pt>
                <c:pt idx="8">
                  <c:v>2691.5</c:v>
                </c:pt>
                <c:pt idx="9">
                  <c:v>2710.5</c:v>
                </c:pt>
                <c:pt idx="10">
                  <c:v>2860</c:v>
                </c:pt>
                <c:pt idx="11">
                  <c:v>3098.5</c:v>
                </c:pt>
                <c:pt idx="12">
                  <c:v>3107.5</c:v>
                </c:pt>
                <c:pt idx="13">
                  <c:v>3394</c:v>
                </c:pt>
                <c:pt idx="14">
                  <c:v>3827.5</c:v>
                </c:pt>
                <c:pt idx="15">
                  <c:v>4005</c:v>
                </c:pt>
                <c:pt idx="16">
                  <c:v>4239</c:v>
                </c:pt>
                <c:pt idx="17">
                  <c:v>4246.5</c:v>
                </c:pt>
                <c:pt idx="18">
                  <c:v>4770</c:v>
                </c:pt>
                <c:pt idx="19">
                  <c:v>4770</c:v>
                </c:pt>
                <c:pt idx="20">
                  <c:v>4771.5</c:v>
                </c:pt>
                <c:pt idx="21">
                  <c:v>4793.5</c:v>
                </c:pt>
                <c:pt idx="22">
                  <c:v>5330.5</c:v>
                </c:pt>
                <c:pt idx="23">
                  <c:v>5370.5</c:v>
                </c:pt>
                <c:pt idx="24">
                  <c:v>5543.5</c:v>
                </c:pt>
                <c:pt idx="25">
                  <c:v>5993.5</c:v>
                </c:pt>
                <c:pt idx="26">
                  <c:v>5996.5</c:v>
                </c:pt>
                <c:pt idx="27">
                  <c:v>6114.5</c:v>
                </c:pt>
                <c:pt idx="28">
                  <c:v>6381</c:v>
                </c:pt>
                <c:pt idx="29">
                  <c:v>8049.5</c:v>
                </c:pt>
                <c:pt idx="30">
                  <c:v>8114.5</c:v>
                </c:pt>
                <c:pt idx="31">
                  <c:v>10435</c:v>
                </c:pt>
                <c:pt idx="32">
                  <c:v>10746</c:v>
                </c:pt>
                <c:pt idx="33">
                  <c:v>10901</c:v>
                </c:pt>
                <c:pt idx="34">
                  <c:v>10907</c:v>
                </c:pt>
                <c:pt idx="35">
                  <c:v>12578.5</c:v>
                </c:pt>
                <c:pt idx="36">
                  <c:v>12921.5</c:v>
                </c:pt>
                <c:pt idx="37">
                  <c:v>12922</c:v>
                </c:pt>
                <c:pt idx="38">
                  <c:v>12929</c:v>
                </c:pt>
                <c:pt idx="39">
                  <c:v>12929.5</c:v>
                </c:pt>
                <c:pt idx="40">
                  <c:v>12930.5</c:v>
                </c:pt>
                <c:pt idx="41">
                  <c:v>12931</c:v>
                </c:pt>
                <c:pt idx="42">
                  <c:v>12961.5</c:v>
                </c:pt>
                <c:pt idx="43">
                  <c:v>12969</c:v>
                </c:pt>
                <c:pt idx="44">
                  <c:v>12981</c:v>
                </c:pt>
                <c:pt idx="45">
                  <c:v>12997</c:v>
                </c:pt>
                <c:pt idx="46">
                  <c:v>13065.5</c:v>
                </c:pt>
                <c:pt idx="47">
                  <c:v>13068</c:v>
                </c:pt>
                <c:pt idx="48">
                  <c:v>13068.5</c:v>
                </c:pt>
                <c:pt idx="49">
                  <c:v>13069.5</c:v>
                </c:pt>
                <c:pt idx="50">
                  <c:v>13089</c:v>
                </c:pt>
                <c:pt idx="51">
                  <c:v>17349</c:v>
                </c:pt>
                <c:pt idx="52">
                  <c:v>17349.5</c:v>
                </c:pt>
                <c:pt idx="53">
                  <c:v>31963.5</c:v>
                </c:pt>
                <c:pt idx="54">
                  <c:v>31963.5</c:v>
                </c:pt>
                <c:pt idx="55">
                  <c:v>31963.5</c:v>
                </c:pt>
                <c:pt idx="56">
                  <c:v>32415</c:v>
                </c:pt>
                <c:pt idx="57">
                  <c:v>32415</c:v>
                </c:pt>
                <c:pt idx="58">
                  <c:v>32415</c:v>
                </c:pt>
                <c:pt idx="59">
                  <c:v>34234.5</c:v>
                </c:pt>
                <c:pt idx="60">
                  <c:v>35283</c:v>
                </c:pt>
                <c:pt idx="61">
                  <c:v>35283</c:v>
                </c:pt>
                <c:pt idx="62">
                  <c:v>35283</c:v>
                </c:pt>
                <c:pt idx="63">
                  <c:v>35610</c:v>
                </c:pt>
                <c:pt idx="64">
                  <c:v>36280</c:v>
                </c:pt>
                <c:pt idx="65">
                  <c:v>36779</c:v>
                </c:pt>
                <c:pt idx="66">
                  <c:v>36875</c:v>
                </c:pt>
                <c:pt idx="67">
                  <c:v>37297.5</c:v>
                </c:pt>
                <c:pt idx="68">
                  <c:v>37299</c:v>
                </c:pt>
                <c:pt idx="69">
                  <c:v>37300.5</c:v>
                </c:pt>
                <c:pt idx="70">
                  <c:v>37423.5</c:v>
                </c:pt>
                <c:pt idx="71">
                  <c:v>37954</c:v>
                </c:pt>
                <c:pt idx="72">
                  <c:v>38445.5</c:v>
                </c:pt>
                <c:pt idx="73">
                  <c:v>38446</c:v>
                </c:pt>
                <c:pt idx="74">
                  <c:v>38523</c:v>
                </c:pt>
                <c:pt idx="75">
                  <c:v>39354</c:v>
                </c:pt>
                <c:pt idx="76">
                  <c:v>39362</c:v>
                </c:pt>
                <c:pt idx="77">
                  <c:v>40101</c:v>
                </c:pt>
                <c:pt idx="78">
                  <c:v>40498</c:v>
                </c:pt>
                <c:pt idx="79">
                  <c:v>40577</c:v>
                </c:pt>
                <c:pt idx="80">
                  <c:v>40653</c:v>
                </c:pt>
                <c:pt idx="81">
                  <c:v>40654</c:v>
                </c:pt>
                <c:pt idx="82">
                  <c:v>41061</c:v>
                </c:pt>
                <c:pt idx="83">
                  <c:v>41572</c:v>
                </c:pt>
                <c:pt idx="84">
                  <c:v>41762</c:v>
                </c:pt>
                <c:pt idx="85">
                  <c:v>41762</c:v>
                </c:pt>
                <c:pt idx="86">
                  <c:v>42109</c:v>
                </c:pt>
                <c:pt idx="87">
                  <c:v>42241.5</c:v>
                </c:pt>
                <c:pt idx="88">
                  <c:v>42770</c:v>
                </c:pt>
                <c:pt idx="89">
                  <c:v>44744.5</c:v>
                </c:pt>
                <c:pt idx="90">
                  <c:v>45434</c:v>
                </c:pt>
                <c:pt idx="91">
                  <c:v>46474</c:v>
                </c:pt>
              </c:numCache>
            </c:numRef>
          </c:xVal>
          <c:yVal>
            <c:numRef>
              <c:f>Active!$U$21:$U$112</c:f>
              <c:numCache>
                <c:formatCode>General</c:formatCode>
                <c:ptCount val="92"/>
                <c:pt idx="59">
                  <c:v>7.9043667807127349E-2</c:v>
                </c:pt>
                <c:pt idx="80">
                  <c:v>4.2358208171208389E-2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0B-48E8-A85E-35517160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949280"/>
        <c:axId val="1"/>
      </c:scatterChart>
      <c:valAx>
        <c:axId val="36794928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1166558542056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49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62537154584272"/>
          <c:y val="0.90909222554077285"/>
          <c:w val="0.7770604522576842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450417561441183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2330516297412"/>
          <c:y val="0.23584978088695488"/>
          <c:w val="0.7706619345036626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(old)'!$H$21:$H$29</c:f>
              <c:numCache>
                <c:formatCode>General</c:formatCode>
                <c:ptCount val="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15-4FDF-B930-1880CA4D920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(old)'!$I$21:$I$29</c:f>
              <c:numCache>
                <c:formatCode>General</c:formatCode>
                <c:ptCount val="9"/>
                <c:pt idx="1">
                  <c:v>8.8587999998708256E-3</c:v>
                </c:pt>
                <c:pt idx="2">
                  <c:v>3.8403500002459623E-3</c:v>
                </c:pt>
                <c:pt idx="3">
                  <c:v>-0.38223460000153864</c:v>
                </c:pt>
                <c:pt idx="4">
                  <c:v>-0.42792424999788636</c:v>
                </c:pt>
                <c:pt idx="5">
                  <c:v>-0.4330905500028166</c:v>
                </c:pt>
                <c:pt idx="6">
                  <c:v>-0.44121355000243057</c:v>
                </c:pt>
                <c:pt idx="7">
                  <c:v>-0.45930869999574497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15-4FDF-B930-1880CA4D9204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(old)'!$J$21:$J$29</c:f>
              <c:numCache>
                <c:formatCode>General</c:formatCode>
                <c:ptCount val="9"/>
                <c:pt idx="8">
                  <c:v>-0.47298025000054622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15-4FDF-B930-1880CA4D9204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(old)'!$K$21:$K$29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15-4FDF-B930-1880CA4D9204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15-4FDF-B930-1880CA4D920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15-4FDF-B930-1880CA4D920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15-4FDF-B930-1880CA4D920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(old)'!$O$21:$O$29</c:f>
              <c:numCache>
                <c:formatCode>General</c:formatCode>
                <c:ptCount val="9"/>
                <c:pt idx="0">
                  <c:v>0.41008447477178023</c:v>
                </c:pt>
                <c:pt idx="1">
                  <c:v>5.0486348854832941E-3</c:v>
                </c:pt>
                <c:pt idx="2">
                  <c:v>5.0369610372043572E-3</c:v>
                </c:pt>
                <c:pt idx="3">
                  <c:v>-0.38920056919106794</c:v>
                </c:pt>
                <c:pt idx="4">
                  <c:v>-0.41368062903201686</c:v>
                </c:pt>
                <c:pt idx="5">
                  <c:v>-0.42131532580644726</c:v>
                </c:pt>
                <c:pt idx="6">
                  <c:v>-0.43695828250023439</c:v>
                </c:pt>
                <c:pt idx="7">
                  <c:v>-0.46365637351418298</c:v>
                </c:pt>
                <c:pt idx="8">
                  <c:v>-0.48932716587958436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15-4FDF-B930-1880CA4D9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464480"/>
        <c:axId val="1"/>
      </c:scatterChart>
      <c:valAx>
        <c:axId val="421464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3310123424654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917355371900828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4644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330578512396695E-2"/>
          <c:y val="0.9088076726258274"/>
          <c:w val="0.97727359493286481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4639175257731958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88659793814433"/>
          <c:y val="0.23511007774245343"/>
          <c:w val="0.77319587628865982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(old)'!$H$21:$H$29</c:f>
              <c:numCache>
                <c:formatCode>General</c:formatCode>
                <c:ptCount val="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D2-41F8-AD55-74F5BBC78FA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(old)'!$I$21:$I$29</c:f>
              <c:numCache>
                <c:formatCode>General</c:formatCode>
                <c:ptCount val="9"/>
                <c:pt idx="1">
                  <c:v>8.8587999998708256E-3</c:v>
                </c:pt>
                <c:pt idx="2">
                  <c:v>3.8403500002459623E-3</c:v>
                </c:pt>
                <c:pt idx="3">
                  <c:v>-0.38223460000153864</c:v>
                </c:pt>
                <c:pt idx="4">
                  <c:v>-0.42792424999788636</c:v>
                </c:pt>
                <c:pt idx="5">
                  <c:v>-0.4330905500028166</c:v>
                </c:pt>
                <c:pt idx="6">
                  <c:v>-0.44121355000243057</c:v>
                </c:pt>
                <c:pt idx="7">
                  <c:v>-0.45930869999574497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D2-41F8-AD55-74F5BBC78FA6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(old)'!$J$21:$J$29</c:f>
              <c:numCache>
                <c:formatCode>General</c:formatCode>
                <c:ptCount val="9"/>
                <c:pt idx="8">
                  <c:v>-0.47298025000054622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D2-41F8-AD55-74F5BBC78FA6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(old)'!$K$21:$K$29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D2-41F8-AD55-74F5BBC78FA6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D2-41F8-AD55-74F5BBC78FA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D2-41F8-AD55-74F5BBC78FA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D2-41F8-AD55-74F5BBC78FA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17348</c:v>
                </c:pt>
                <c:pt idx="2">
                  <c:v>17348.5</c:v>
                </c:pt>
                <c:pt idx="3">
                  <c:v>34234</c:v>
                </c:pt>
                <c:pt idx="4">
                  <c:v>35282.5</c:v>
                </c:pt>
                <c:pt idx="5">
                  <c:v>35609.5</c:v>
                </c:pt>
                <c:pt idx="6">
                  <c:v>36279.5</c:v>
                </c:pt>
                <c:pt idx="7">
                  <c:v>37423</c:v>
                </c:pt>
                <c:pt idx="8">
                  <c:v>38522.5</c:v>
                </c:pt>
              </c:numCache>
            </c:numRef>
          </c:xVal>
          <c:yVal>
            <c:numRef>
              <c:f>'A (old)'!$O$21:$O$29</c:f>
              <c:numCache>
                <c:formatCode>General</c:formatCode>
                <c:ptCount val="9"/>
                <c:pt idx="0">
                  <c:v>0.41008447477178023</c:v>
                </c:pt>
                <c:pt idx="1">
                  <c:v>5.0486348854832941E-3</c:v>
                </c:pt>
                <c:pt idx="2">
                  <c:v>5.0369610372043572E-3</c:v>
                </c:pt>
                <c:pt idx="3">
                  <c:v>-0.38920056919106794</c:v>
                </c:pt>
                <c:pt idx="4">
                  <c:v>-0.41368062903201686</c:v>
                </c:pt>
                <c:pt idx="5">
                  <c:v>-0.42131532580644726</c:v>
                </c:pt>
                <c:pt idx="6">
                  <c:v>-0.43695828250023439</c:v>
                </c:pt>
                <c:pt idx="7">
                  <c:v>-0.46365637351418298</c:v>
                </c:pt>
                <c:pt idx="8">
                  <c:v>-0.48932716587958436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D2-41F8-AD55-74F5BBC78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464808"/>
        <c:axId val="1"/>
      </c:scatterChart>
      <c:valAx>
        <c:axId val="421464808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34020618556697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793814432989693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14648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309278350515464E-2"/>
          <c:y val="0.90909222554077285"/>
          <c:w val="0.97525773195876286"/>
          <c:h val="0.971788150305663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450417561441183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5554073672029"/>
          <c:y val="0.23584978088695488"/>
          <c:w val="0.7665296989299164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B!$H$21:$H$30</c:f>
              <c:numCache>
                <c:formatCode>General</c:formatCode>
                <c:ptCount val="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26-45D7-AF97-D4EB4365901D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B!$I$21:$I$30</c:f>
              <c:numCache>
                <c:formatCode>General</c:formatCode>
                <c:ptCount val="10"/>
                <c:pt idx="1">
                  <c:v>7.5887863735260908E-2</c:v>
                </c:pt>
                <c:pt idx="2">
                  <c:v>7.0881087580346502E-2</c:v>
                </c:pt>
                <c:pt idx="3">
                  <c:v>7.9043667807127349E-2</c:v>
                </c:pt>
                <c:pt idx="4">
                  <c:v>5.7834077648294624E-2</c:v>
                </c:pt>
                <c:pt idx="5">
                  <c:v>6.030247441958636E-2</c:v>
                </c:pt>
                <c:pt idx="6">
                  <c:v>6.782243111229036E-2</c:v>
                </c:pt>
                <c:pt idx="7">
                  <c:v>7.6425372128142044E-2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26-45D7-AF97-D4EB4365901D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B!$J$21:$J$30</c:f>
              <c:numCache>
                <c:formatCode>General</c:formatCode>
                <c:ptCount val="10"/>
                <c:pt idx="8">
                  <c:v>8.8424614499672316E-2</c:v>
                </c:pt>
                <c:pt idx="9">
                  <c:v>9.3654231910477392E-2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26-45D7-AF97-D4EB4365901D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B!$K$21:$K$30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26-45D7-AF97-D4EB4365901D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B!$L$21:$L$30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26-45D7-AF97-D4EB4365901D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B!$M$21:$M$30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26-45D7-AF97-D4EB4365901D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B!$N$21:$N$30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26-45D7-AF97-D4EB4365901D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B!$O$21:$O$30</c:f>
              <c:numCache>
                <c:formatCode>General</c:formatCode>
                <c:ptCount val="10"/>
                <c:pt idx="3">
                  <c:v>4.8532075350529835E-2</c:v>
                </c:pt>
                <c:pt idx="4">
                  <c:v>5.7944027734003756E-2</c:v>
                </c:pt>
                <c:pt idx="5">
                  <c:v>6.0879371968048546E-2</c:v>
                </c:pt>
                <c:pt idx="6">
                  <c:v>6.6893685842085271E-2</c:v>
                </c:pt>
                <c:pt idx="7">
                  <c:v>7.7158414073370374E-2</c:v>
                </c:pt>
                <c:pt idx="8">
                  <c:v>8.7028172438300855E-2</c:v>
                </c:pt>
                <c:pt idx="9">
                  <c:v>9.4559529662654296E-2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26-45D7-AF97-D4EB43659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011728"/>
        <c:axId val="1"/>
      </c:scatterChart>
      <c:valAx>
        <c:axId val="422011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39712804494475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917355371900828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0117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330578512396695E-2"/>
          <c:y val="0.9088076726258274"/>
          <c:w val="0.97727359493286481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4639175257731958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0103092783505"/>
          <c:y val="0.23511007774245343"/>
          <c:w val="0.76907216494845365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B!$H$21:$H$30</c:f>
              <c:numCache>
                <c:formatCode>General</c:formatCode>
                <c:ptCount val="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5-4182-BA00-9069217E99EE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B!$I$21:$I$30</c:f>
              <c:numCache>
                <c:formatCode>General</c:formatCode>
                <c:ptCount val="10"/>
                <c:pt idx="1">
                  <c:v>7.5887863735260908E-2</c:v>
                </c:pt>
                <c:pt idx="2">
                  <c:v>7.0881087580346502E-2</c:v>
                </c:pt>
                <c:pt idx="3">
                  <c:v>7.9043667807127349E-2</c:v>
                </c:pt>
                <c:pt idx="4">
                  <c:v>5.7834077648294624E-2</c:v>
                </c:pt>
                <c:pt idx="5">
                  <c:v>6.030247441958636E-2</c:v>
                </c:pt>
                <c:pt idx="6">
                  <c:v>6.782243111229036E-2</c:v>
                </c:pt>
                <c:pt idx="7">
                  <c:v>7.6425372128142044E-2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5-4182-BA00-9069217E99EE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B!$J$21:$J$30</c:f>
              <c:numCache>
                <c:formatCode>General</c:formatCode>
                <c:ptCount val="10"/>
                <c:pt idx="8">
                  <c:v>8.8424614499672316E-2</c:v>
                </c:pt>
                <c:pt idx="9">
                  <c:v>9.3654231910477392E-2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5-4182-BA00-9069217E99EE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B!$K$21:$K$30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A5-4182-BA00-9069217E99EE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B!$L$21:$L$30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A5-4182-BA00-9069217E99E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B!$M$21:$M$30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A5-4182-BA00-9069217E99E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B!$N$21:$N$30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A5-4182-BA00-9069217E99E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B!$F$21:$F$30</c:f>
              <c:numCache>
                <c:formatCode>General</c:formatCode>
                <c:ptCount val="10"/>
                <c:pt idx="0">
                  <c:v>0</c:v>
                </c:pt>
                <c:pt idx="1">
                  <c:v>17348.5</c:v>
                </c:pt>
                <c:pt idx="2">
                  <c:v>17349</c:v>
                </c:pt>
                <c:pt idx="3">
                  <c:v>34234.5</c:v>
                </c:pt>
                <c:pt idx="4">
                  <c:v>35283</c:v>
                </c:pt>
                <c:pt idx="5">
                  <c:v>35610</c:v>
                </c:pt>
                <c:pt idx="6">
                  <c:v>36280</c:v>
                </c:pt>
                <c:pt idx="7">
                  <c:v>37423.5</c:v>
                </c:pt>
                <c:pt idx="8">
                  <c:v>38523</c:v>
                </c:pt>
                <c:pt idx="9">
                  <c:v>39362</c:v>
                </c:pt>
              </c:numCache>
            </c:numRef>
          </c:xVal>
          <c:yVal>
            <c:numRef>
              <c:f>B!$O$21:$O$30</c:f>
              <c:numCache>
                <c:formatCode>General</c:formatCode>
                <c:ptCount val="10"/>
                <c:pt idx="3">
                  <c:v>4.8532075350529835E-2</c:v>
                </c:pt>
                <c:pt idx="4">
                  <c:v>5.7944027734003756E-2</c:v>
                </c:pt>
                <c:pt idx="5">
                  <c:v>6.0879371968048546E-2</c:v>
                </c:pt>
                <c:pt idx="6">
                  <c:v>6.6893685842085271E-2</c:v>
                </c:pt>
                <c:pt idx="7">
                  <c:v>7.7158414073370374E-2</c:v>
                </c:pt>
                <c:pt idx="8">
                  <c:v>8.7028172438300855E-2</c:v>
                </c:pt>
                <c:pt idx="9">
                  <c:v>9.4559529662654296E-2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A5-4182-BA00-9069217E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365672"/>
        <c:axId val="1"/>
      </c:scatterChart>
      <c:valAx>
        <c:axId val="433365672"/>
        <c:scaling>
          <c:orientation val="minMax"/>
          <c:min val="3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40206185567006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793814432989693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56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309278350515464E-2"/>
          <c:y val="0.90909222554077285"/>
          <c:w val="0.97525773195876286"/>
          <c:h val="0.971788150305663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Per - O-C Diagr.</a:t>
            </a:r>
          </a:p>
        </c:rich>
      </c:tx>
      <c:layout>
        <c:manualLayout>
          <c:xMode val="edge"/>
          <c:yMode val="edge"/>
          <c:x val="0.34639175257731958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62886597938144"/>
          <c:y val="0.23511007774245343"/>
          <c:w val="0.75463917525773194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D!$H$20:$H$20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D!$H$21:$H$30</c:f>
              <c:numCache>
                <c:formatCode>General</c:formatCode>
                <c:ptCount val="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B5-4F91-B6BE-D64A5C267F3C}"/>
            </c:ext>
          </c:extLst>
        </c:ser>
        <c:ser>
          <c:idx val="1"/>
          <c:order val="1"/>
          <c:tx>
            <c:strRef>
              <c:f>D!$I$20:$I$20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D!$I$21:$I$30</c:f>
              <c:numCache>
                <c:formatCode>General</c:formatCode>
                <c:ptCount val="10"/>
                <c:pt idx="1">
                  <c:v>-0.15896686317864805</c:v>
                </c:pt>
                <c:pt idx="2">
                  <c:v>-0.16397812762443209</c:v>
                </c:pt>
                <c:pt idx="3">
                  <c:v>3.062154253711924E-2</c:v>
                </c:pt>
                <c:pt idx="4">
                  <c:v>0</c:v>
                </c:pt>
                <c:pt idx="5">
                  <c:v>-4.6694746561115608E-4</c:v>
                </c:pt>
                <c:pt idx="6">
                  <c:v>1.038695358147379E-3</c:v>
                </c:pt>
                <c:pt idx="7">
                  <c:v>-6.2309185886988416E-4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B5-4F91-B6BE-D64A5C267F3C}"/>
            </c:ext>
          </c:extLst>
        </c:ser>
        <c:ser>
          <c:idx val="2"/>
          <c:order val="2"/>
          <c:tx>
            <c:strRef>
              <c:f>D!$J$20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D!$J$21:$J$30</c:f>
              <c:numCache>
                <c:formatCode>General</c:formatCode>
                <c:ptCount val="10"/>
                <c:pt idx="8">
                  <c:v>1.5063921455293894E-3</c:v>
                </c:pt>
                <c:pt idx="9">
                  <c:v>-7.9534766700817272E-4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B5-4F91-B6BE-D64A5C267F3C}"/>
            </c:ext>
          </c:extLst>
        </c:ser>
        <c:ser>
          <c:idx val="3"/>
          <c:order val="3"/>
          <c:tx>
            <c:strRef>
              <c:f>D!$K$20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D!$K$21:$K$30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B5-4F91-B6BE-D64A5C267F3C}"/>
            </c:ext>
          </c:extLst>
        </c:ser>
        <c:ser>
          <c:idx val="4"/>
          <c:order val="4"/>
          <c:tx>
            <c:strRef>
              <c:f>D!$L$20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D!$L$21:$L$30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B5-4F91-B6BE-D64A5C267F3C}"/>
            </c:ext>
          </c:extLst>
        </c:ser>
        <c:ser>
          <c:idx val="5"/>
          <c:order val="5"/>
          <c:tx>
            <c:strRef>
              <c:f>D!$M$20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D!$M$21:$M$30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B5-4F91-B6BE-D64A5C267F3C}"/>
            </c:ext>
          </c:extLst>
        </c:ser>
        <c:ser>
          <c:idx val="6"/>
          <c:order val="6"/>
          <c:tx>
            <c:strRef>
              <c:f>D!$N$20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D!$N$21:$N$30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B5-4F91-B6BE-D64A5C267F3C}"/>
            </c:ext>
          </c:extLst>
        </c:ser>
        <c:ser>
          <c:idx val="7"/>
          <c:order val="7"/>
          <c:tx>
            <c:strRef>
              <c:f>D!$O$20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D!$F$21:$F$30</c:f>
              <c:numCache>
                <c:formatCode>General</c:formatCode>
                <c:ptCount val="10"/>
                <c:pt idx="0">
                  <c:v>-35282.5</c:v>
                </c:pt>
                <c:pt idx="1">
                  <c:v>-17934</c:v>
                </c:pt>
                <c:pt idx="2">
                  <c:v>-17933.5</c:v>
                </c:pt>
                <c:pt idx="3">
                  <c:v>-1048.5</c:v>
                </c:pt>
                <c:pt idx="4">
                  <c:v>0</c:v>
                </c:pt>
                <c:pt idx="5">
                  <c:v>327</c:v>
                </c:pt>
                <c:pt idx="6">
                  <c:v>997</c:v>
                </c:pt>
                <c:pt idx="7">
                  <c:v>2140.5</c:v>
                </c:pt>
                <c:pt idx="8">
                  <c:v>3240</c:v>
                </c:pt>
                <c:pt idx="9">
                  <c:v>4079</c:v>
                </c:pt>
              </c:numCache>
            </c:numRef>
          </c:xVal>
          <c:yVal>
            <c:numRef>
              <c:f>D!$O$21:$O$30</c:f>
              <c:numCache>
                <c:formatCode>General</c:formatCode>
                <c:ptCount val="10"/>
                <c:pt idx="3">
                  <c:v>1.0995008554101825E-4</c:v>
                </c:pt>
                <c:pt idx="4">
                  <c:v>1.0995008547601524E-4</c:v>
                </c:pt>
                <c:pt idx="5">
                  <c:v>1.0995008545574247E-4</c:v>
                </c:pt>
                <c:pt idx="6">
                  <c:v>1.0995008541420502E-4</c:v>
                </c:pt>
                <c:pt idx="7">
                  <c:v>1.0995008534331236E-4</c:v>
                </c:pt>
                <c:pt idx="8">
                  <c:v>1.0995008527514754E-4</c:v>
                </c:pt>
                <c:pt idx="9">
                  <c:v>1.0995008522313273E-4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B5-4F91-B6BE-D64A5C267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983496"/>
        <c:axId val="1"/>
      </c:scatterChart>
      <c:valAx>
        <c:axId val="7649834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3505154639176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793814432989693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983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309278350515464E-2"/>
          <c:y val="0.90909222554077285"/>
          <c:w val="0.97525773195876286"/>
          <c:h val="0.971788150305663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361950</xdr:colOff>
      <xdr:row>18</xdr:row>
      <xdr:rowOff>28575</xdr:rowOff>
    </xdr:to>
    <xdr:graphicFrame macro="">
      <xdr:nvGraphicFramePr>
        <xdr:cNvPr id="4099" name="Chart 1">
          <a:extLst>
            <a:ext uri="{FF2B5EF4-FFF2-40B4-BE49-F238E27FC236}">
              <a16:creationId xmlns:a16="http://schemas.microsoft.com/office/drawing/2014/main" id="{CFBA7DDA-CDFB-2C39-5233-3399D7A51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114300</xdr:colOff>
      <xdr:row>0</xdr:row>
      <xdr:rowOff>76200</xdr:rowOff>
    </xdr:from>
    <xdr:to>
      <xdr:col>25</xdr:col>
      <xdr:colOff>600075</xdr:colOff>
      <xdr:row>18</xdr:row>
      <xdr:rowOff>104775</xdr:rowOff>
    </xdr:to>
    <xdr:graphicFrame macro="">
      <xdr:nvGraphicFramePr>
        <xdr:cNvPr id="4100" name="Chart 2">
          <a:extLst>
            <a:ext uri="{FF2B5EF4-FFF2-40B4-BE49-F238E27FC236}">
              <a16:creationId xmlns:a16="http://schemas.microsoft.com/office/drawing/2014/main" id="{027B07B2-3B9D-9822-B3DE-A4BA1428D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0</xdr:row>
      <xdr:rowOff>0</xdr:rowOff>
    </xdr:from>
    <xdr:to>
      <xdr:col>19</xdr:col>
      <xdr:colOff>647700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B8AEA14-E129-5F71-D361-F8426BF2E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0</xdr:row>
      <xdr:rowOff>0</xdr:rowOff>
    </xdr:from>
    <xdr:to>
      <xdr:col>12</xdr:col>
      <xdr:colOff>95250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DB7081B-DA4B-4A1C-86D8-7775C51EF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0</xdr:row>
      <xdr:rowOff>0</xdr:rowOff>
    </xdr:from>
    <xdr:to>
      <xdr:col>19</xdr:col>
      <xdr:colOff>647700</xdr:colOff>
      <xdr:row>18</xdr:row>
      <xdr:rowOff>19050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6247DC09-252E-49FC-4C45-D1D2EE669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0</xdr:row>
      <xdr:rowOff>0</xdr:rowOff>
    </xdr:from>
    <xdr:to>
      <xdr:col>12</xdr:col>
      <xdr:colOff>95250</xdr:colOff>
      <xdr:row>18</xdr:row>
      <xdr:rowOff>28575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A4AF62ED-8413-FD7B-B655-C5A210362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0</xdr:rowOff>
    </xdr:from>
    <xdr:to>
      <xdr:col>12</xdr:col>
      <xdr:colOff>228600</xdr:colOff>
      <xdr:row>18</xdr:row>
      <xdr:rowOff>28575</xdr:rowOff>
    </xdr:to>
    <xdr:graphicFrame macro="">
      <xdr:nvGraphicFramePr>
        <xdr:cNvPr id="5122" name="Chart 1">
          <a:extLst>
            <a:ext uri="{FF2B5EF4-FFF2-40B4-BE49-F238E27FC236}">
              <a16:creationId xmlns:a16="http://schemas.microsoft.com/office/drawing/2014/main" id="{056D3487-0D7F-5C66-8655-6C8C671B9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486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www.konkoly.hu/cgi-bin/IBVS?5938" TargetMode="External"/><Relationship Id="rId26" Type="http://schemas.openxmlformats.org/officeDocument/2006/relationships/hyperlink" Target="http://www.bav-astro.de/sfs/BAVM_link.php?BAVMnr=62" TargetMode="External"/><Relationship Id="rId3" Type="http://schemas.openxmlformats.org/officeDocument/2006/relationships/hyperlink" Target="http://www.bav-astro.de/sfs/BAVM_link.php?BAVMnr=133" TargetMode="External"/><Relationship Id="rId21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486" TargetMode="External"/><Relationship Id="rId12" Type="http://schemas.openxmlformats.org/officeDocument/2006/relationships/hyperlink" Target="http://www.konkoly.hu/cgi-bin/IBVS?5672" TargetMode="External"/><Relationship Id="rId17" Type="http://schemas.openxmlformats.org/officeDocument/2006/relationships/hyperlink" Target="http://www.aavso.org/sites/default/files/jaavso/v37n1/44.pdf" TargetMode="External"/><Relationship Id="rId25" Type="http://schemas.openxmlformats.org/officeDocument/2006/relationships/hyperlink" Target="http://www.bav-astro.de/sfs/BAVM_link.php?BAVMnr=62" TargetMode="External"/><Relationship Id="rId2" Type="http://schemas.openxmlformats.org/officeDocument/2006/relationships/hyperlink" Target="http://www.konkoly.hu/cgi-bin/IBVS?180" TargetMode="External"/><Relationship Id="rId16" Type="http://schemas.openxmlformats.org/officeDocument/2006/relationships/hyperlink" Target="http://www.konkoly.hu/cgi-bin/IBVS?5871" TargetMode="External"/><Relationship Id="rId20" Type="http://schemas.openxmlformats.org/officeDocument/2006/relationships/hyperlink" Target="http://var.astro.cz/oejv/issues/oejv0137.pdf" TargetMode="External"/><Relationship Id="rId29" Type="http://schemas.openxmlformats.org/officeDocument/2006/relationships/hyperlink" Target="http://www.bav-astro.de/sfs/BAVM_link.php?BAVMnr=128" TargetMode="External"/><Relationship Id="rId1" Type="http://schemas.openxmlformats.org/officeDocument/2006/relationships/hyperlink" Target="http://www.konkoly.hu/cgi-bin/IBVS?180" TargetMode="External"/><Relationship Id="rId6" Type="http://schemas.openxmlformats.org/officeDocument/2006/relationships/hyperlink" Target="http://www.konkoly.hu/cgi-bin/IBVS?5486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konkoly.hu/cgi-bin/IBVS?6063" TargetMode="External"/><Relationship Id="rId32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aavso.org/sites/default/files/jaavso/v37n1/44.pdf" TargetMode="External"/><Relationship Id="rId15" Type="http://schemas.openxmlformats.org/officeDocument/2006/relationships/hyperlink" Target="http://www.bav-astro.de/sfs/BAVM_link.php?BAVMnr=201" TargetMode="External"/><Relationship Id="rId23" Type="http://schemas.openxmlformats.org/officeDocument/2006/relationships/hyperlink" Target="http://www.bav-astro.de/sfs/BAVM_link.php?BAVMnr=228" TargetMode="External"/><Relationship Id="rId28" Type="http://schemas.openxmlformats.org/officeDocument/2006/relationships/hyperlink" Target="http://www.bav-astro.de/sfs/BAVM_link.php?BAVMnr=68" TargetMode="External"/><Relationship Id="rId10" Type="http://schemas.openxmlformats.org/officeDocument/2006/relationships/hyperlink" Target="http://www.bav-astro.de/sfs/BAVM_link.php?BAVMnr=173" TargetMode="External"/><Relationship Id="rId19" Type="http://schemas.openxmlformats.org/officeDocument/2006/relationships/hyperlink" Target="http://www.konkoly.hu/cgi-bin/IBVS?5960" TargetMode="External"/><Relationship Id="rId31" Type="http://schemas.openxmlformats.org/officeDocument/2006/relationships/hyperlink" Target="http://www.konkoly.hu/cgi-bin/IBVS?5486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bav-astro.de/sfs/BAVM_link.php?BAVMnr=158" TargetMode="External"/><Relationship Id="rId14" Type="http://schemas.openxmlformats.org/officeDocument/2006/relationships/hyperlink" Target="http://www.konkoly.hu/cgi-bin/IBVS?5760" TargetMode="External"/><Relationship Id="rId22" Type="http://schemas.openxmlformats.org/officeDocument/2006/relationships/hyperlink" Target="http://www.konkoly.hu/cgi-bin/IBVS?6011" TargetMode="External"/><Relationship Id="rId27" Type="http://schemas.openxmlformats.org/officeDocument/2006/relationships/hyperlink" Target="http://www.bav-astro.de/sfs/BAVM_link.php?BAVMnr=68" TargetMode="External"/><Relationship Id="rId30" Type="http://schemas.openxmlformats.org/officeDocument/2006/relationships/hyperlink" Target="http://www.bav-astro.de/sfs/BAVM_link.php?BAVMnr=12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13"/>
  <sheetViews>
    <sheetView tabSelected="1" workbookViewId="0">
      <pane xSplit="14" ySplit="22" topLeftCell="O98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6384" width="10.28515625" style="1"/>
  </cols>
  <sheetData>
    <row r="1" spans="1:6" ht="20.25" x14ac:dyDescent="0.3">
      <c r="A1" s="2" t="s">
        <v>365</v>
      </c>
    </row>
    <row r="2" spans="1:6" x14ac:dyDescent="0.2">
      <c r="A2" s="1" t="s">
        <v>2</v>
      </c>
      <c r="B2" s="33" t="s">
        <v>366</v>
      </c>
      <c r="C2" s="34" t="s">
        <v>367</v>
      </c>
    </row>
    <row r="4" spans="1:6" x14ac:dyDescent="0.2">
      <c r="A4" s="4" t="s">
        <v>3</v>
      </c>
      <c r="C4" s="5">
        <v>27397.513999999999</v>
      </c>
      <c r="D4" s="6">
        <v>0.67603690000000005</v>
      </c>
    </row>
    <row r="5" spans="1:6" x14ac:dyDescent="0.2">
      <c r="A5" s="35" t="s">
        <v>368</v>
      </c>
      <c r="B5"/>
      <c r="C5" s="36">
        <v>-9.5</v>
      </c>
      <c r="D5" t="s">
        <v>369</v>
      </c>
    </row>
    <row r="6" spans="1:6" x14ac:dyDescent="0.2">
      <c r="A6" s="4" t="s">
        <v>4</v>
      </c>
      <c r="C6" s="1" t="s">
        <v>370</v>
      </c>
    </row>
    <row r="7" spans="1:6" x14ac:dyDescent="0.2">
      <c r="A7" s="1" t="s">
        <v>5</v>
      </c>
      <c r="C7" s="1">
        <f>+C4</f>
        <v>27397.513999999999</v>
      </c>
    </row>
    <row r="8" spans="1:6" x14ac:dyDescent="0.2">
      <c r="A8" s="1" t="s">
        <v>6</v>
      </c>
      <c r="C8" s="1">
        <v>0.67601355230344218</v>
      </c>
    </row>
    <row r="9" spans="1:6" x14ac:dyDescent="0.2">
      <c r="A9" s="37" t="s">
        <v>371</v>
      </c>
      <c r="B9" s="38">
        <v>96</v>
      </c>
      <c r="C9" s="39" t="str">
        <f>"F"&amp;B9</f>
        <v>F96</v>
      </c>
      <c r="D9" s="10" t="str">
        <f>"G"&amp;B9</f>
        <v>G96</v>
      </c>
    </row>
    <row r="10" spans="1:6" x14ac:dyDescent="0.2">
      <c r="A10"/>
      <c r="B10"/>
      <c r="C10" s="7" t="s">
        <v>7</v>
      </c>
      <c r="D10" s="7" t="s">
        <v>8</v>
      </c>
      <c r="E10"/>
    </row>
    <row r="11" spans="1:6" x14ac:dyDescent="0.2">
      <c r="A11" t="s">
        <v>9</v>
      </c>
      <c r="B11"/>
      <c r="C11" s="40">
        <f ca="1">INTERCEPT(INDIRECT($D$9):G992,INDIRECT($C$9):F992)</f>
        <v>-0.1682388096108762</v>
      </c>
      <c r="D11" s="8"/>
      <c r="E11"/>
    </row>
    <row r="12" spans="1:6" x14ac:dyDescent="0.2">
      <c r="A12" t="s">
        <v>10</v>
      </c>
      <c r="B12"/>
      <c r="C12" s="40">
        <f ca="1">SLOPE(INDIRECT($D$9):G992,INDIRECT($C$9):F992)</f>
        <v>6.667417221188389E-6</v>
      </c>
      <c r="D12" s="8"/>
      <c r="E12"/>
    </row>
    <row r="13" spans="1:6" x14ac:dyDescent="0.2">
      <c r="A13" t="s">
        <v>11</v>
      </c>
      <c r="B13"/>
      <c r="C13" s="8" t="s">
        <v>12</v>
      </c>
    </row>
    <row r="14" spans="1:6" x14ac:dyDescent="0.2">
      <c r="A14"/>
      <c r="B14"/>
      <c r="C14"/>
    </row>
    <row r="15" spans="1:6" x14ac:dyDescent="0.2">
      <c r="A15" s="41" t="s">
        <v>14</v>
      </c>
      <c r="B15"/>
      <c r="C15" s="42">
        <f ca="1">(C7+C11)+(C8+C12)*INT(MAX(F21:F3533))</f>
        <v>59556.303633522068</v>
      </c>
      <c r="E15" s="43" t="s">
        <v>372</v>
      </c>
      <c r="F15" s="36">
        <v>1</v>
      </c>
    </row>
    <row r="16" spans="1:6" x14ac:dyDescent="0.2">
      <c r="A16" s="41" t="s">
        <v>15</v>
      </c>
      <c r="B16"/>
      <c r="C16" s="42">
        <f ca="1">+C8+C12</f>
        <v>0.6760202197206634</v>
      </c>
      <c r="E16" s="43" t="s">
        <v>373</v>
      </c>
      <c r="F16" s="40">
        <f ca="1">NOW()+15018.5+$C$5/24</f>
        <v>59965.812280671293</v>
      </c>
    </row>
    <row r="17" spans="1:21" x14ac:dyDescent="0.2">
      <c r="A17" s="43" t="s">
        <v>374</v>
      </c>
      <c r="B17"/>
      <c r="C17">
        <f>COUNT(C21:C2191)</f>
        <v>93</v>
      </c>
      <c r="E17" s="43" t="s">
        <v>375</v>
      </c>
      <c r="F17" s="40">
        <f ca="1">ROUND(2*(F16-$C$7)/$C$8,0)/2+F15</f>
        <v>48178</v>
      </c>
    </row>
    <row r="18" spans="1:21" x14ac:dyDescent="0.2">
      <c r="A18" s="41" t="s">
        <v>16</v>
      </c>
      <c r="B18"/>
      <c r="C18" s="44">
        <f ca="1">+C15</f>
        <v>59556.303633522068</v>
      </c>
      <c r="D18" s="45">
        <f ca="1">+C16</f>
        <v>0.6760202197206634</v>
      </c>
      <c r="E18" s="43" t="s">
        <v>376</v>
      </c>
      <c r="F18" s="10">
        <f ca="1">ROUND(2*(F16-$C$15)/$C$16,0)/2+F15</f>
        <v>607</v>
      </c>
    </row>
    <row r="19" spans="1:21" x14ac:dyDescent="0.2">
      <c r="E19" s="43" t="s">
        <v>377</v>
      </c>
      <c r="F19" s="46">
        <f ca="1">+$C$15+$C$16*F18-15018.5-$C$5/24</f>
        <v>44948.543740225847</v>
      </c>
    </row>
    <row r="20" spans="1:21" x14ac:dyDescent="0.2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54</v>
      </c>
      <c r="I20" s="9" t="s">
        <v>57</v>
      </c>
      <c r="J20" s="9" t="s">
        <v>51</v>
      </c>
      <c r="K20" s="9" t="s">
        <v>49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  <c r="U20" s="47" t="s">
        <v>378</v>
      </c>
    </row>
    <row r="21" spans="1:21" x14ac:dyDescent="0.2">
      <c r="A21" s="1" t="s">
        <v>24</v>
      </c>
      <c r="C21" s="48">
        <v>27397.513999999999</v>
      </c>
      <c r="D21" s="20" t="s">
        <v>12</v>
      </c>
      <c r="E21" s="1">
        <f>+(C21-C$7)/C$8</f>
        <v>0</v>
      </c>
      <c r="F21" s="49">
        <f>ROUND(2*E21,0)/2+1</f>
        <v>1</v>
      </c>
      <c r="G21" s="1">
        <f>+C21-(C$7+F21*C$8)</f>
        <v>-0.67601355230362969</v>
      </c>
      <c r="H21" s="15">
        <f>G21</f>
        <v>-0.67601355230362969</v>
      </c>
      <c r="Q21" s="72">
        <f>+C21-15018.5</f>
        <v>12379.013999999999</v>
      </c>
    </row>
    <row r="22" spans="1:21" x14ac:dyDescent="0.2">
      <c r="A22" s="50" t="s">
        <v>197</v>
      </c>
      <c r="B22" s="51" t="s">
        <v>35</v>
      </c>
      <c r="C22" s="50">
        <v>27397.534</v>
      </c>
      <c r="D22" s="15"/>
      <c r="E22" s="1">
        <f>+(C22-C$7)/C$8</f>
        <v>2.9585205699336568E-2</v>
      </c>
      <c r="F22" s="49">
        <f>ROUND(2*E22,0)/2+1</f>
        <v>1</v>
      </c>
      <c r="G22" s="52">
        <f>+C22-(C$7+F22*C$8)</f>
        <v>-0.65601355230319314</v>
      </c>
      <c r="H22" s="1">
        <f>G22</f>
        <v>-0.65601355230319314</v>
      </c>
      <c r="Q22" s="72">
        <f>+C22-15018.5</f>
        <v>12379.034</v>
      </c>
    </row>
    <row r="23" spans="1:21" x14ac:dyDescent="0.2">
      <c r="A23" s="50" t="s">
        <v>201</v>
      </c>
      <c r="B23" s="51" t="s">
        <v>36</v>
      </c>
      <c r="C23" s="50">
        <v>28022.53</v>
      </c>
      <c r="D23" s="15"/>
      <c r="E23" s="1">
        <f>+(C23-C$7)/C$8</f>
        <v>924.56134624864546</v>
      </c>
      <c r="F23" s="49">
        <f>ROUND(2*E23,0)/2+1</f>
        <v>925.5</v>
      </c>
      <c r="G23" s="1">
        <f>+C23-(C$7+F23*C$8)</f>
        <v>-0.63454265683685662</v>
      </c>
      <c r="H23" s="1">
        <f>G23</f>
        <v>-0.63454265683685662</v>
      </c>
      <c r="Q23" s="72">
        <f>+C23-15018.5</f>
        <v>13004.029999999999</v>
      </c>
    </row>
    <row r="24" spans="1:21" x14ac:dyDescent="0.2">
      <c r="A24" s="50" t="s">
        <v>201</v>
      </c>
      <c r="B24" s="51" t="s">
        <v>36</v>
      </c>
      <c r="C24" s="50">
        <v>28070.468000000001</v>
      </c>
      <c r="E24" s="1">
        <f>+(C24-C$7)/C$8</f>
        <v>995.47412578784031</v>
      </c>
      <c r="F24" s="49">
        <f>ROUND(2*E24,0)/2+1</f>
        <v>996.5</v>
      </c>
      <c r="G24" s="1">
        <f>+C24-(C$7+F24*C$8)</f>
        <v>-0.69350487037809216</v>
      </c>
      <c r="H24" s="1">
        <f>G24</f>
        <v>-0.69350487037809216</v>
      </c>
      <c r="Q24" s="72">
        <f>+C24-15018.5</f>
        <v>13051.968000000001</v>
      </c>
    </row>
    <row r="25" spans="1:21" x14ac:dyDescent="0.2">
      <c r="A25" s="50" t="s">
        <v>201</v>
      </c>
      <c r="B25" s="51" t="s">
        <v>36</v>
      </c>
      <c r="C25" s="50">
        <v>28104.359</v>
      </c>
      <c r="E25" s="1">
        <f>+(C25-C$7)/C$8</f>
        <v>1045.6077361045561</v>
      </c>
      <c r="F25" s="49">
        <f>ROUND(2*E25,0)/2+1</f>
        <v>1046.5</v>
      </c>
      <c r="G25" s="1">
        <f>+C25-(C$7+F25*C$8)</f>
        <v>-0.60318248555267928</v>
      </c>
      <c r="H25" s="1">
        <f>G25</f>
        <v>-0.60318248555267928</v>
      </c>
      <c r="Q25" s="72">
        <f>+C25-15018.5</f>
        <v>13085.859</v>
      </c>
    </row>
    <row r="26" spans="1:21" x14ac:dyDescent="0.2">
      <c r="A26" s="50" t="s">
        <v>201</v>
      </c>
      <c r="B26" s="51" t="s">
        <v>36</v>
      </c>
      <c r="C26" s="50">
        <v>28108.358</v>
      </c>
      <c r="E26" s="1">
        <f>+(C26-C$7)/C$8</f>
        <v>1051.5232979840091</v>
      </c>
      <c r="F26" s="49">
        <f>ROUND(2*E26,0)/2+1</f>
        <v>1052.5</v>
      </c>
      <c r="G26" s="1">
        <f>+C26-(C$7+F26*C$8)</f>
        <v>-0.6602637993710232</v>
      </c>
      <c r="H26" s="1">
        <f>G26</f>
        <v>-0.6602637993710232</v>
      </c>
      <c r="Q26" s="72">
        <f>+C26-15018.5</f>
        <v>13089.858</v>
      </c>
    </row>
    <row r="27" spans="1:21" x14ac:dyDescent="0.2">
      <c r="A27" s="50" t="s">
        <v>197</v>
      </c>
      <c r="B27" s="51" t="s">
        <v>36</v>
      </c>
      <c r="C27" s="50">
        <v>28246.304</v>
      </c>
      <c r="E27" s="1">
        <f>+(C27-C$7)/C$8</f>
        <v>1255.5813372495888</v>
      </c>
      <c r="F27" s="49">
        <f>ROUND(2*E27,0)/2+1</f>
        <v>1256.5</v>
      </c>
      <c r="G27" s="1">
        <f>+C27-(C$7+F27*C$8)</f>
        <v>-0.6210284692751884</v>
      </c>
      <c r="H27" s="1">
        <f>G27</f>
        <v>-0.6210284692751884</v>
      </c>
      <c r="Q27" s="72">
        <f>+C27-15018.5</f>
        <v>13227.804</v>
      </c>
    </row>
    <row r="28" spans="1:21" x14ac:dyDescent="0.2">
      <c r="A28" s="50" t="s">
        <v>197</v>
      </c>
      <c r="B28" s="51" t="s">
        <v>35</v>
      </c>
      <c r="C28" s="50">
        <v>28409.567999999999</v>
      </c>
      <c r="E28" s="1">
        <f>+(C28-C$7)/C$8</f>
        <v>1497.0912884091404</v>
      </c>
      <c r="F28" s="49">
        <f>ROUND(2*E28,0)/2+1</f>
        <v>1498</v>
      </c>
      <c r="G28" s="1">
        <f>+C28-(C$7+F28*C$8)</f>
        <v>-0.61430135055707069</v>
      </c>
      <c r="H28" s="1">
        <f>G28</f>
        <v>-0.61430135055707069</v>
      </c>
      <c r="Q28" s="72">
        <f>+C28-15018.5</f>
        <v>13391.067999999999</v>
      </c>
    </row>
    <row r="29" spans="1:21" x14ac:dyDescent="0.2">
      <c r="A29" s="50" t="s">
        <v>197</v>
      </c>
      <c r="B29" s="51" t="s">
        <v>36</v>
      </c>
      <c r="C29" s="50">
        <v>29216.378000000001</v>
      </c>
      <c r="E29" s="1">
        <f>+(C29-C$7)/C$8</f>
        <v>2690.5732788971782</v>
      </c>
      <c r="F29" s="49">
        <f>ROUND(2*E29,0)/2+1</f>
        <v>2691.5</v>
      </c>
      <c r="G29" s="1">
        <f>+C29-(C$7+F29*C$8)</f>
        <v>-0.62647602471406572</v>
      </c>
      <c r="H29" s="1">
        <f>G29</f>
        <v>-0.62647602471406572</v>
      </c>
      <c r="Q29" s="72">
        <f>+C29-15018.5</f>
        <v>14197.878000000001</v>
      </c>
    </row>
    <row r="30" spans="1:21" x14ac:dyDescent="0.2">
      <c r="A30" s="50" t="s">
        <v>197</v>
      </c>
      <c r="B30" s="51" t="s">
        <v>36</v>
      </c>
      <c r="C30" s="50">
        <v>29229.233</v>
      </c>
      <c r="E30" s="1">
        <f>+(C30-C$7)/C$8</f>
        <v>2709.5891698600108</v>
      </c>
      <c r="F30" s="49">
        <f>ROUND(2*E30,0)/2+1</f>
        <v>2710.5</v>
      </c>
      <c r="G30" s="1">
        <f>+C30-(C$7+F30*C$8)</f>
        <v>-0.61573351847982849</v>
      </c>
      <c r="H30" s="1">
        <f>G30</f>
        <v>-0.61573351847982849</v>
      </c>
      <c r="Q30" s="72">
        <f>+C30-15018.5</f>
        <v>14210.733</v>
      </c>
    </row>
    <row r="31" spans="1:21" x14ac:dyDescent="0.2">
      <c r="A31" s="50" t="s">
        <v>197</v>
      </c>
      <c r="B31" s="51" t="s">
        <v>35</v>
      </c>
      <c r="C31" s="50">
        <v>29330.31</v>
      </c>
      <c r="E31" s="1">
        <f>+(C31-C$7)/C$8</f>
        <v>2859.1083616803412</v>
      </c>
      <c r="F31" s="49">
        <f>ROUND(2*E31,0)/2+1</f>
        <v>2860</v>
      </c>
      <c r="G31" s="1">
        <f>+C31-(C$7+F31*C$8)</f>
        <v>-0.60275958784404793</v>
      </c>
      <c r="H31" s="1">
        <f>G31</f>
        <v>-0.60275958784404793</v>
      </c>
      <c r="Q31" s="72">
        <f>+C31-15018.5</f>
        <v>14311.810000000001</v>
      </c>
    </row>
    <row r="32" spans="1:21" x14ac:dyDescent="0.2">
      <c r="A32" s="50" t="s">
        <v>197</v>
      </c>
      <c r="B32" s="51" t="s">
        <v>36</v>
      </c>
      <c r="C32" s="50">
        <v>29491.537</v>
      </c>
      <c r="E32" s="1">
        <f>+(C32-C$7)/C$8</f>
        <v>3097.6050596394803</v>
      </c>
      <c r="F32" s="49">
        <f>ROUND(2*E32,0)/2+1</f>
        <v>3098.5</v>
      </c>
      <c r="G32" s="1">
        <f>+C32-(C$7+F32*C$8)</f>
        <v>-0.60499181221530307</v>
      </c>
      <c r="H32" s="1">
        <f>G32</f>
        <v>-0.60499181221530307</v>
      </c>
      <c r="Q32" s="72">
        <f>+C32-15018.5</f>
        <v>14473.037</v>
      </c>
    </row>
    <row r="33" spans="1:17" x14ac:dyDescent="0.2">
      <c r="A33" s="50" t="s">
        <v>197</v>
      </c>
      <c r="B33" s="51" t="s">
        <v>36</v>
      </c>
      <c r="C33" s="50">
        <v>29497.581999999999</v>
      </c>
      <c r="E33" s="1">
        <f>+(C33-C$7)/C$8</f>
        <v>3106.547188061907</v>
      </c>
      <c r="F33" s="49">
        <f>ROUND(2*E33,0)/2+1</f>
        <v>3107.5</v>
      </c>
      <c r="G33" s="1">
        <f>+C33-(C$7+F33*C$8)</f>
        <v>-0.64411378294607857</v>
      </c>
      <c r="H33" s="1">
        <f>G33</f>
        <v>-0.64411378294607857</v>
      </c>
      <c r="Q33" s="72">
        <f>+C33-15018.5</f>
        <v>14479.081999999999</v>
      </c>
    </row>
    <row r="34" spans="1:17" x14ac:dyDescent="0.2">
      <c r="A34" s="50" t="s">
        <v>197</v>
      </c>
      <c r="B34" s="51" t="s">
        <v>35</v>
      </c>
      <c r="C34" s="50">
        <v>29691.302</v>
      </c>
      <c r="E34" s="1">
        <f>+(C34-C$7)/C$8</f>
        <v>3393.1094904594279</v>
      </c>
      <c r="F34" s="49">
        <f>ROUND(2*E34,0)/2+1</f>
        <v>3394</v>
      </c>
      <c r="G34" s="1">
        <f>+C34-(C$7+F34*C$8)</f>
        <v>-0.6019965178820712</v>
      </c>
      <c r="H34" s="1">
        <f>G34</f>
        <v>-0.6019965178820712</v>
      </c>
      <c r="Q34" s="72">
        <f>+C34-15018.5</f>
        <v>14672.802</v>
      </c>
    </row>
    <row r="35" spans="1:17" x14ac:dyDescent="0.2">
      <c r="A35" s="50" t="s">
        <v>197</v>
      </c>
      <c r="B35" s="51" t="s">
        <v>36</v>
      </c>
      <c r="C35" s="50">
        <v>29984.356</v>
      </c>
      <c r="E35" s="1">
        <f>+(C35-C$7)/C$8</f>
        <v>3826.6126340006344</v>
      </c>
      <c r="F35" s="49">
        <f>ROUND(2*E35,0)/2+1</f>
        <v>3827.5</v>
      </c>
      <c r="G35" s="1">
        <f>+C35-(C$7+F35*C$8)</f>
        <v>-0.59987144142360194</v>
      </c>
      <c r="H35" s="1">
        <f>G35</f>
        <v>-0.59987144142360194</v>
      </c>
      <c r="Q35" s="72">
        <f>+C35-15018.5</f>
        <v>14965.856</v>
      </c>
    </row>
    <row r="36" spans="1:17" x14ac:dyDescent="0.2">
      <c r="A36" s="50" t="s">
        <v>239</v>
      </c>
      <c r="B36" s="51" t="s">
        <v>35</v>
      </c>
      <c r="C36" s="50">
        <v>30104.368999999999</v>
      </c>
      <c r="E36" s="1">
        <f>+(C36-C$7)/C$8</f>
        <v>4004.1430985764819</v>
      </c>
      <c r="F36" s="49">
        <f>ROUND(2*E36,0)/2+1</f>
        <v>4005</v>
      </c>
      <c r="G36" s="1">
        <f>+C36-(C$7+F36*C$8)</f>
        <v>-0.57927697528793942</v>
      </c>
      <c r="H36" s="1">
        <f>G36</f>
        <v>-0.57927697528793942</v>
      </c>
      <c r="Q36" s="72">
        <f>+C36-15018.5</f>
        <v>15085.868999999999</v>
      </c>
    </row>
    <row r="37" spans="1:17" x14ac:dyDescent="0.2">
      <c r="A37" s="50" t="s">
        <v>239</v>
      </c>
      <c r="B37" s="51" t="s">
        <v>35</v>
      </c>
      <c r="C37" s="50">
        <v>30262.563999999998</v>
      </c>
      <c r="E37" s="1">
        <f>+(C37-C$7)/C$8</f>
        <v>4238.1546793517009</v>
      </c>
      <c r="F37" s="49">
        <f>ROUND(2*E37,0)/2+1</f>
        <v>4239</v>
      </c>
      <c r="G37" s="1">
        <f>+C37-(C$7+F37*C$8)</f>
        <v>-0.57144821429392323</v>
      </c>
      <c r="H37" s="1">
        <f>G37</f>
        <v>-0.57144821429392323</v>
      </c>
      <c r="Q37" s="72">
        <f>+C37-15018.5</f>
        <v>15244.063999999998</v>
      </c>
    </row>
    <row r="38" spans="1:17" x14ac:dyDescent="0.2">
      <c r="A38" s="50" t="s">
        <v>197</v>
      </c>
      <c r="B38" s="51" t="s">
        <v>36</v>
      </c>
      <c r="C38" s="50">
        <v>30267.606</v>
      </c>
      <c r="E38" s="1">
        <f>+(C38-C$7)/C$8</f>
        <v>4245.6131097083426</v>
      </c>
      <c r="F38" s="49">
        <f>ROUND(2*E38,0)/2+1</f>
        <v>4246.5</v>
      </c>
      <c r="G38" s="1">
        <f>+C38-(C$7+F38*C$8)</f>
        <v>-0.59954985656804638</v>
      </c>
      <c r="H38" s="1">
        <f>G38</f>
        <v>-0.59954985656804638</v>
      </c>
      <c r="Q38" s="72">
        <f>+C38-15018.5</f>
        <v>15249.106</v>
      </c>
    </row>
    <row r="39" spans="1:17" x14ac:dyDescent="0.2">
      <c r="A39" s="50" t="s">
        <v>197</v>
      </c>
      <c r="B39" s="51" t="s">
        <v>35</v>
      </c>
      <c r="C39" s="50">
        <v>30621.566999999999</v>
      </c>
      <c r="E39" s="1">
        <f>+(C39-C$7)/C$8</f>
        <v>4769.2135594240563</v>
      </c>
      <c r="F39" s="49">
        <f>ROUND(2*E39,0)/2+1</f>
        <v>4770</v>
      </c>
      <c r="G39" s="1">
        <f>+C39-(C$7+F39*C$8)</f>
        <v>-0.53164448741881642</v>
      </c>
      <c r="H39" s="1">
        <f>G39</f>
        <v>-0.53164448741881642</v>
      </c>
      <c r="Q39" s="72">
        <f>+C39-15018.5</f>
        <v>15603.066999999999</v>
      </c>
    </row>
    <row r="40" spans="1:17" x14ac:dyDescent="0.2">
      <c r="A40" s="50" t="s">
        <v>239</v>
      </c>
      <c r="B40" s="51" t="s">
        <v>35</v>
      </c>
      <c r="C40" s="50">
        <v>30621.566999999999</v>
      </c>
      <c r="E40" s="1">
        <f>+(C40-C$7)/C$8</f>
        <v>4769.2135594240563</v>
      </c>
      <c r="F40" s="49">
        <f>ROUND(2*E40,0)/2+1</f>
        <v>4770</v>
      </c>
      <c r="G40" s="1">
        <f>+C40-(C$7+F40*C$8)</f>
        <v>-0.53164448741881642</v>
      </c>
      <c r="H40" s="1">
        <f>G40</f>
        <v>-0.53164448741881642</v>
      </c>
      <c r="Q40" s="72">
        <f>+C40-15018.5</f>
        <v>15603.066999999999</v>
      </c>
    </row>
    <row r="41" spans="1:17" x14ac:dyDescent="0.2">
      <c r="A41" s="50" t="s">
        <v>197</v>
      </c>
      <c r="B41" s="51" t="s">
        <v>36</v>
      </c>
      <c r="C41" s="50">
        <v>30622.546999999999</v>
      </c>
      <c r="E41" s="1">
        <f>+(C41-C$7)/C$8</f>
        <v>4770.6632345032913</v>
      </c>
      <c r="F41" s="49">
        <f>ROUND(2*E41,0)/2+1</f>
        <v>4771.5</v>
      </c>
      <c r="G41" s="1">
        <f>+C41-(C$7+F41*C$8)</f>
        <v>-0.56566481587651651</v>
      </c>
      <c r="H41" s="1">
        <f>G41</f>
        <v>-0.56566481587651651</v>
      </c>
      <c r="Q41" s="72">
        <f>+C41-15018.5</f>
        <v>15604.046999999999</v>
      </c>
    </row>
    <row r="42" spans="1:17" x14ac:dyDescent="0.2">
      <c r="A42" s="50" t="s">
        <v>239</v>
      </c>
      <c r="B42" s="51" t="s">
        <v>36</v>
      </c>
      <c r="C42" s="50">
        <v>30637.383999999998</v>
      </c>
      <c r="E42" s="1">
        <f>+(C42-C$7)/C$8</f>
        <v>4792.6110193508648</v>
      </c>
      <c r="F42" s="49">
        <f>ROUND(2*E42,0)/2+1</f>
        <v>4793.5</v>
      </c>
      <c r="G42" s="1">
        <f>+C42-(C$7+F42*C$8)</f>
        <v>-0.6009629665495595</v>
      </c>
      <c r="H42" s="1">
        <f>G42</f>
        <v>-0.6009629665495595</v>
      </c>
      <c r="Q42" s="72">
        <f>+C42-15018.5</f>
        <v>15618.883999999998</v>
      </c>
    </row>
    <row r="43" spans="1:17" x14ac:dyDescent="0.2">
      <c r="A43" s="50" t="s">
        <v>239</v>
      </c>
      <c r="B43" s="51" t="s">
        <v>36</v>
      </c>
      <c r="C43" s="50">
        <v>31000.435000000001</v>
      </c>
      <c r="E43" s="1">
        <f>+(C43-C$7)/C$8</f>
        <v>5329.6579450566387</v>
      </c>
      <c r="F43" s="49">
        <f>ROUND(2*E43,0)/2+1</f>
        <v>5330.5</v>
      </c>
      <c r="G43" s="1">
        <f>+C43-(C$7+F43*C$8)</f>
        <v>-0.56924055349736591</v>
      </c>
      <c r="H43" s="1">
        <f>G43</f>
        <v>-0.56924055349736591</v>
      </c>
      <c r="Q43" s="72">
        <f>+C43-15018.5</f>
        <v>15981.935000000001</v>
      </c>
    </row>
    <row r="44" spans="1:17" x14ac:dyDescent="0.2">
      <c r="A44" s="50" t="s">
        <v>239</v>
      </c>
      <c r="B44" s="51" t="s">
        <v>36</v>
      </c>
      <c r="C44" s="50">
        <v>31027.477999999999</v>
      </c>
      <c r="E44" s="1">
        <f>+(C44-C$7)/C$8</f>
        <v>5369.6615809421201</v>
      </c>
      <c r="F44" s="49">
        <f>ROUND(2*E44,0)/2+1</f>
        <v>5370.5</v>
      </c>
      <c r="G44" s="1">
        <f>+C44-(C$7+F44*C$8)</f>
        <v>-0.56678264563743141</v>
      </c>
      <c r="H44" s="1">
        <f>G44</f>
        <v>-0.56678264563743141</v>
      </c>
      <c r="Q44" s="72">
        <f>+C44-15018.5</f>
        <v>16008.977999999999</v>
      </c>
    </row>
    <row r="45" spans="1:17" x14ac:dyDescent="0.2">
      <c r="A45" s="50" t="s">
        <v>239</v>
      </c>
      <c r="B45" s="51" t="s">
        <v>36</v>
      </c>
      <c r="C45" s="50">
        <v>31144.488000000001</v>
      </c>
      <c r="E45" s="1">
        <f>+(C45-C$7)/C$8</f>
        <v>5542.7498268823138</v>
      </c>
      <c r="F45" s="49">
        <f>ROUND(2*E45,0)/2+1</f>
        <v>5543.5</v>
      </c>
      <c r="G45" s="1">
        <f>+C45-(C$7+F45*C$8)</f>
        <v>-0.50712719413058949</v>
      </c>
      <c r="H45" s="1">
        <f>G45</f>
        <v>-0.50712719413058949</v>
      </c>
      <c r="Q45" s="72">
        <f>+C45-15018.5</f>
        <v>16125.988000000001</v>
      </c>
    </row>
    <row r="46" spans="1:17" x14ac:dyDescent="0.2">
      <c r="A46" s="50" t="s">
        <v>239</v>
      </c>
      <c r="B46" s="51" t="s">
        <v>36</v>
      </c>
      <c r="C46" s="50">
        <v>31448.665000000001</v>
      </c>
      <c r="E46" s="1">
        <f>+(C46-C$7)/C$8</f>
        <v>5992.7067825728464</v>
      </c>
      <c r="F46" s="49">
        <f>ROUND(2*E46,0)/2+1</f>
        <v>5993.5</v>
      </c>
      <c r="G46" s="1">
        <f>+C46-(C$7+F46*C$8)</f>
        <v>-0.53622573068059864</v>
      </c>
      <c r="H46" s="1">
        <f>G46</f>
        <v>-0.53622573068059864</v>
      </c>
      <c r="Q46" s="72">
        <f>+C46-15018.5</f>
        <v>16430.165000000001</v>
      </c>
    </row>
    <row r="47" spans="1:17" x14ac:dyDescent="0.2">
      <c r="A47" s="50" t="s">
        <v>239</v>
      </c>
      <c r="B47" s="51" t="s">
        <v>36</v>
      </c>
      <c r="C47" s="50">
        <v>31450.674999999999</v>
      </c>
      <c r="E47" s="1">
        <f>+(C47-C$7)/C$8</f>
        <v>5995.6800957455625</v>
      </c>
      <c r="F47" s="49">
        <f>ROUND(2*E47,0)/2+1</f>
        <v>5996.5</v>
      </c>
      <c r="G47" s="1">
        <f>+C47-(C$7+F47*C$8)</f>
        <v>-0.55426638758945046</v>
      </c>
      <c r="H47" s="1">
        <f>G47</f>
        <v>-0.55426638758945046</v>
      </c>
      <c r="Q47" s="72">
        <f>+C47-15018.5</f>
        <v>16432.174999999999</v>
      </c>
    </row>
    <row r="48" spans="1:17" x14ac:dyDescent="0.2">
      <c r="A48" s="50" t="s">
        <v>239</v>
      </c>
      <c r="B48" s="51" t="s">
        <v>36</v>
      </c>
      <c r="C48" s="50">
        <v>31530.421999999999</v>
      </c>
      <c r="E48" s="1">
        <f>+(C48-C$7)/C$8</f>
        <v>6113.6466656882367</v>
      </c>
      <c r="F48" s="49">
        <f>ROUND(2*E48,0)/2+1</f>
        <v>6114.5</v>
      </c>
      <c r="G48" s="1">
        <f>+C48-(C$7+F48*C$8)</f>
        <v>-0.57686555939653772</v>
      </c>
      <c r="H48" s="1">
        <f>G48</f>
        <v>-0.57686555939653772</v>
      </c>
      <c r="Q48" s="72">
        <f>+C48-15018.5</f>
        <v>16511.921999999999</v>
      </c>
    </row>
    <row r="49" spans="1:17" x14ac:dyDescent="0.2">
      <c r="A49" s="50" t="s">
        <v>197</v>
      </c>
      <c r="B49" s="51" t="s">
        <v>35</v>
      </c>
      <c r="C49" s="50">
        <v>31710.612000000001</v>
      </c>
      <c r="E49" s="1">
        <f>+(C49-C$7)/C$8</f>
        <v>6380.1945764305947</v>
      </c>
      <c r="F49" s="49">
        <f>ROUND(2*E49,0)/2+1</f>
        <v>6381</v>
      </c>
      <c r="G49" s="1">
        <f>+C49-(C$7+F49*C$8)</f>
        <v>-0.54447724826241028</v>
      </c>
      <c r="H49" s="1">
        <f>G49</f>
        <v>-0.54447724826241028</v>
      </c>
      <c r="Q49" s="72">
        <f>+C49-15018.5</f>
        <v>16692.112000000001</v>
      </c>
    </row>
    <row r="50" spans="1:17" x14ac:dyDescent="0.2">
      <c r="A50" s="50" t="s">
        <v>197</v>
      </c>
      <c r="B50" s="51" t="s">
        <v>36</v>
      </c>
      <c r="C50" s="50">
        <v>32838.574000000001</v>
      </c>
      <c r="E50" s="1">
        <f>+(C50-C$7)/C$8</f>
        <v>8048.7439659459269</v>
      </c>
      <c r="F50" s="49">
        <f>ROUND(2*E50,0)/2+1</f>
        <v>8049.5</v>
      </c>
      <c r="G50" s="1">
        <f>+C50-(C$7+F50*C$8)</f>
        <v>-0.51108926655433606</v>
      </c>
      <c r="H50" s="1">
        <f>G50</f>
        <v>-0.51108926655433606</v>
      </c>
      <c r="Q50" s="72">
        <f>+C50-15018.5</f>
        <v>17820.074000000001</v>
      </c>
    </row>
    <row r="51" spans="1:17" x14ac:dyDescent="0.2">
      <c r="A51" s="50" t="s">
        <v>197</v>
      </c>
      <c r="B51" s="51" t="s">
        <v>36</v>
      </c>
      <c r="C51" s="50">
        <v>32882.525000000001</v>
      </c>
      <c r="E51" s="1">
        <f>+(C51-C$7)/C$8</f>
        <v>8113.7589347290859</v>
      </c>
      <c r="F51" s="53">
        <f>ROUND(2*E51,0)/2+0.5</f>
        <v>8114.5</v>
      </c>
      <c r="G51" s="1">
        <f>+C51-(C$7+F51*C$8)</f>
        <v>-0.50097016627842095</v>
      </c>
      <c r="H51" s="1">
        <f>G51</f>
        <v>-0.50097016627842095</v>
      </c>
      <c r="Q51" s="72">
        <f>+C51-15018.5</f>
        <v>17864.025000000001</v>
      </c>
    </row>
    <row r="52" spans="1:17" x14ac:dyDescent="0.2">
      <c r="A52" s="50" t="s">
        <v>197</v>
      </c>
      <c r="B52" s="51" t="s">
        <v>35</v>
      </c>
      <c r="C52" s="50">
        <v>34451.328000000001</v>
      </c>
      <c r="E52" s="1">
        <f>+(C52-C$7)/C$8</f>
        <v>10434.426907515246</v>
      </c>
      <c r="F52" s="53">
        <f>ROUND(2*E52,0)/2+0.5</f>
        <v>10435</v>
      </c>
      <c r="G52" s="1">
        <f>+C52-(C$7+F52*C$8)</f>
        <v>-0.387418286416505</v>
      </c>
      <c r="H52" s="1">
        <f>G52</f>
        <v>-0.387418286416505</v>
      </c>
      <c r="Q52" s="72">
        <f>+C52-15018.5</f>
        <v>19432.828000000001</v>
      </c>
    </row>
    <row r="53" spans="1:17" x14ac:dyDescent="0.2">
      <c r="A53" s="50" t="s">
        <v>197</v>
      </c>
      <c r="B53" s="51" t="s">
        <v>35</v>
      </c>
      <c r="C53" s="50">
        <v>34661.481</v>
      </c>
      <c r="E53" s="1">
        <f>+(C53-C$7)/C$8</f>
        <v>10745.297894175092</v>
      </c>
      <c r="F53" s="53">
        <f>ROUND(2*E53,0)/2+0.5</f>
        <v>10746</v>
      </c>
      <c r="G53" s="1">
        <f>+C53-(C$7+F53*C$8)</f>
        <v>-0.47463305278506596</v>
      </c>
      <c r="H53" s="1">
        <f>G53</f>
        <v>-0.47463305278506596</v>
      </c>
      <c r="Q53" s="72">
        <f>+C53-15018.5</f>
        <v>19642.981</v>
      </c>
    </row>
    <row r="54" spans="1:17" x14ac:dyDescent="0.2">
      <c r="A54" s="50" t="s">
        <v>197</v>
      </c>
      <c r="B54" s="51" t="s">
        <v>35</v>
      </c>
      <c r="C54" s="50">
        <v>34766.347999999998</v>
      </c>
      <c r="E54" s="1">
        <f>+(C54-C$7)/C$8</f>
        <v>10900.42348247532</v>
      </c>
      <c r="F54" s="53">
        <f>ROUND(2*E54,0)/2+0.5</f>
        <v>10901</v>
      </c>
      <c r="G54" s="1">
        <f>+C54-(C$7+F54*C$8)</f>
        <v>-0.38973365982383257</v>
      </c>
      <c r="H54" s="1">
        <f>G54</f>
        <v>-0.38973365982383257</v>
      </c>
      <c r="Q54" s="72">
        <f>+C54-15018.5</f>
        <v>19747.847999999998</v>
      </c>
    </row>
    <row r="55" spans="1:17" x14ac:dyDescent="0.2">
      <c r="A55" s="50" t="s">
        <v>197</v>
      </c>
      <c r="B55" s="51" t="s">
        <v>35</v>
      </c>
      <c r="C55" s="50">
        <v>34770.396999999997</v>
      </c>
      <c r="E55" s="1">
        <f>+(C55-C$7)/C$8</f>
        <v>10906.413007369018</v>
      </c>
      <c r="F55" s="53">
        <f>ROUND(2*E55,0)/2+0.5</f>
        <v>10907</v>
      </c>
      <c r="G55" s="1">
        <f>+C55-(C$7+F55*C$8)</f>
        <v>-0.39681497364654206</v>
      </c>
      <c r="H55" s="1">
        <f>G55</f>
        <v>-0.39681497364654206</v>
      </c>
      <c r="Q55" s="72">
        <f>+C55-15018.5</f>
        <v>19751.896999999997</v>
      </c>
    </row>
    <row r="56" spans="1:17" x14ac:dyDescent="0.2">
      <c r="A56" s="50" t="s">
        <v>197</v>
      </c>
      <c r="B56" s="51" t="s">
        <v>36</v>
      </c>
      <c r="C56" s="50">
        <v>35900.343999999997</v>
      </c>
      <c r="E56" s="1">
        <f>+(C56-C$7)/C$8</f>
        <v>12577.898728549946</v>
      </c>
      <c r="F56" s="53">
        <f>ROUND(2*E56,0)/2+0.5</f>
        <v>12578.5</v>
      </c>
      <c r="G56" s="1">
        <f>+C56-(C$7+F56*C$8)</f>
        <v>-0.40646764884877484</v>
      </c>
      <c r="H56" s="1">
        <f>G56</f>
        <v>-0.40646764884877484</v>
      </c>
      <c r="Q56" s="72">
        <f>+C56-15018.5</f>
        <v>20881.843999999997</v>
      </c>
    </row>
    <row r="57" spans="1:17" x14ac:dyDescent="0.2">
      <c r="A57" s="50" t="s">
        <v>197</v>
      </c>
      <c r="B57" s="51" t="s">
        <v>36</v>
      </c>
      <c r="C57" s="50">
        <v>36132.275000000001</v>
      </c>
      <c r="E57" s="1">
        <f>+(C57-C$7)/C$8</f>
        <v>12920.985045695104</v>
      </c>
      <c r="F57" s="53">
        <f>ROUND(2*E57,0)/2+0.5</f>
        <v>12921.5</v>
      </c>
      <c r="G57" s="1">
        <f>+C57-(C$7+F57*C$8)</f>
        <v>-0.34811608892778168</v>
      </c>
      <c r="H57" s="1">
        <f>G57</f>
        <v>-0.34811608892778168</v>
      </c>
      <c r="Q57" s="72">
        <f>+C57-15018.5</f>
        <v>21113.775000000001</v>
      </c>
    </row>
    <row r="58" spans="1:17" x14ac:dyDescent="0.2">
      <c r="A58" s="50" t="s">
        <v>197</v>
      </c>
      <c r="B58" s="51" t="s">
        <v>35</v>
      </c>
      <c r="C58" s="50">
        <v>36132.587</v>
      </c>
      <c r="E58" s="1">
        <f>+(C58-C$7)/C$8</f>
        <v>12921.446574904003</v>
      </c>
      <c r="F58" s="53">
        <f>ROUND(2*E58,0)/2+0.5</f>
        <v>12922</v>
      </c>
      <c r="G58" s="1">
        <f>+C58-(C$7+F58*C$8)</f>
        <v>-0.37412286507606041</v>
      </c>
      <c r="H58" s="1">
        <f>G58</f>
        <v>-0.37412286507606041</v>
      </c>
      <c r="Q58" s="72">
        <f>+C58-15018.5</f>
        <v>21114.087</v>
      </c>
    </row>
    <row r="59" spans="1:17" x14ac:dyDescent="0.2">
      <c r="A59" s="50" t="s">
        <v>197</v>
      </c>
      <c r="B59" s="51" t="s">
        <v>35</v>
      </c>
      <c r="C59" s="50">
        <v>36137.32</v>
      </c>
      <c r="E59" s="1">
        <f>+(C59-C$7)/C$8</f>
        <v>12928.447913832597</v>
      </c>
      <c r="F59" s="53">
        <f>ROUND(2*E59,0)/2+0.5</f>
        <v>12929</v>
      </c>
      <c r="G59" s="1">
        <f>+C59-(C$7+F59*C$8)</f>
        <v>-0.37321773120493162</v>
      </c>
      <c r="H59" s="1">
        <f>G59</f>
        <v>-0.37321773120493162</v>
      </c>
      <c r="Q59" s="72">
        <f>+C59-15018.5</f>
        <v>21118.82</v>
      </c>
    </row>
    <row r="60" spans="1:17" x14ac:dyDescent="0.2">
      <c r="A60" s="50" t="s">
        <v>197</v>
      </c>
      <c r="B60" s="51" t="s">
        <v>36</v>
      </c>
      <c r="C60" s="50">
        <v>36137.65</v>
      </c>
      <c r="E60" s="1">
        <f>+(C60-C$7)/C$8</f>
        <v>12928.936069726629</v>
      </c>
      <c r="F60" s="53">
        <f>ROUND(2*E60,0)/2+0.5</f>
        <v>12929.5</v>
      </c>
      <c r="G60" s="1">
        <f>+C60-(C$7+F60*C$8)</f>
        <v>-0.38122450735681923</v>
      </c>
      <c r="H60" s="1">
        <f>G60</f>
        <v>-0.38122450735681923</v>
      </c>
      <c r="Q60" s="72">
        <f>+C60-15018.5</f>
        <v>21119.15</v>
      </c>
    </row>
    <row r="61" spans="1:17" x14ac:dyDescent="0.2">
      <c r="A61" s="50" t="s">
        <v>197</v>
      </c>
      <c r="B61" s="51" t="s">
        <v>36</v>
      </c>
      <c r="C61" s="50">
        <v>36138.339999999997</v>
      </c>
      <c r="E61" s="1">
        <f>+(C61-C$7)/C$8</f>
        <v>12929.956759323226</v>
      </c>
      <c r="F61" s="53">
        <f>ROUND(2*E61,0)/2+0.5</f>
        <v>12930.5</v>
      </c>
      <c r="G61" s="1">
        <f>+C61-(C$7+F61*C$8)</f>
        <v>-0.3672380596617586</v>
      </c>
      <c r="H61" s="1">
        <f>G61</f>
        <v>-0.3672380596617586</v>
      </c>
      <c r="Q61" s="72">
        <f>+C61-15018.5</f>
        <v>21119.839999999997</v>
      </c>
    </row>
    <row r="62" spans="1:17" x14ac:dyDescent="0.2">
      <c r="A62" s="50" t="s">
        <v>197</v>
      </c>
      <c r="B62" s="51" t="s">
        <v>35</v>
      </c>
      <c r="C62" s="50">
        <v>36138.665000000001</v>
      </c>
      <c r="E62" s="1">
        <f>+(C62-C$7)/C$8</f>
        <v>12930.437518915836</v>
      </c>
      <c r="F62" s="53">
        <f>ROUND(2*E62,0)/2+0.5</f>
        <v>12931</v>
      </c>
      <c r="G62" s="1">
        <f>+C62-(C$7+F62*C$8)</f>
        <v>-0.38024483581102686</v>
      </c>
      <c r="H62" s="1">
        <f>G62</f>
        <v>-0.38024483581102686</v>
      </c>
      <c r="Q62" s="72">
        <f>+C62-15018.5</f>
        <v>21120.165000000001</v>
      </c>
    </row>
    <row r="63" spans="1:17" x14ac:dyDescent="0.2">
      <c r="A63" s="50" t="s">
        <v>197</v>
      </c>
      <c r="B63" s="51" t="s">
        <v>36</v>
      </c>
      <c r="C63" s="50">
        <v>36159.31</v>
      </c>
      <c r="E63" s="1">
        <f>+(C63-C$7)/C$8</f>
        <v>12960.976847498305</v>
      </c>
      <c r="F63" s="53">
        <f>ROUND(2*E63,0)/2+0.5</f>
        <v>12961.5</v>
      </c>
      <c r="G63" s="1">
        <f>+C63-(C$7+F63*C$8)</f>
        <v>-0.353658181069477</v>
      </c>
      <c r="H63" s="1">
        <f>G63</f>
        <v>-0.353658181069477</v>
      </c>
      <c r="Q63" s="72">
        <f>+C63-15018.5</f>
        <v>21140.809999999998</v>
      </c>
    </row>
    <row r="64" spans="1:17" x14ac:dyDescent="0.2">
      <c r="A64" s="50" t="s">
        <v>197</v>
      </c>
      <c r="B64" s="51" t="s">
        <v>35</v>
      </c>
      <c r="C64" s="50">
        <v>36164.36</v>
      </c>
      <c r="E64" s="1">
        <f>+(C64-C$7)/C$8</f>
        <v>12968.447111937228</v>
      </c>
      <c r="F64" s="53">
        <f>ROUND(2*E64,0)/2+0.5</f>
        <v>12969</v>
      </c>
      <c r="G64" s="1">
        <f>+C64-(C$7+F64*C$8)</f>
        <v>-0.37375982334197033</v>
      </c>
      <c r="H64" s="1">
        <f>G64</f>
        <v>-0.37375982334197033</v>
      </c>
      <c r="Q64" s="72">
        <f>+C64-15018.5</f>
        <v>21145.86</v>
      </c>
    </row>
    <row r="65" spans="1:21" x14ac:dyDescent="0.2">
      <c r="A65" s="50" t="s">
        <v>197</v>
      </c>
      <c r="B65" s="51" t="s">
        <v>35</v>
      </c>
      <c r="C65" s="50">
        <v>36172.474999999999</v>
      </c>
      <c r="E65" s="1">
        <f>+(C65-C$7)/C$8</f>
        <v>12980.45130914947</v>
      </c>
      <c r="F65" s="53">
        <f>ROUND(2*E65,0)/2+0.5</f>
        <v>12981</v>
      </c>
      <c r="G65" s="1">
        <f>+C65-(C$7+F65*C$8)</f>
        <v>-0.37092245098756393</v>
      </c>
      <c r="H65" s="1">
        <f>G65</f>
        <v>-0.37092245098756393</v>
      </c>
      <c r="Q65" s="72">
        <f>+C65-15018.5</f>
        <v>21153.974999999999</v>
      </c>
    </row>
    <row r="66" spans="1:21" x14ac:dyDescent="0.2">
      <c r="A66" s="50" t="s">
        <v>197</v>
      </c>
      <c r="B66" s="51" t="s">
        <v>35</v>
      </c>
      <c r="C66" s="50">
        <v>36183.296000000002</v>
      </c>
      <c r="E66" s="1">
        <f>+(C66-C$7)/C$8</f>
        <v>12996.458384692751</v>
      </c>
      <c r="F66" s="53">
        <f>ROUND(2*E66,0)/2+0.5</f>
        <v>12997</v>
      </c>
      <c r="G66" s="1">
        <f>+C66-(C$7+F66*C$8)</f>
        <v>-0.36613928783481242</v>
      </c>
      <c r="H66" s="1">
        <f>G66</f>
        <v>-0.36613928783481242</v>
      </c>
      <c r="Q66" s="72">
        <f>+C66-15018.5</f>
        <v>21164.796000000002</v>
      </c>
    </row>
    <row r="67" spans="1:21" x14ac:dyDescent="0.2">
      <c r="A67" s="50" t="s">
        <v>197</v>
      </c>
      <c r="B67" s="51" t="s">
        <v>36</v>
      </c>
      <c r="C67" s="50">
        <v>36229.64</v>
      </c>
      <c r="E67" s="1">
        <f>+(C67-C$7)/C$8</f>
        <v>13065.013223337754</v>
      </c>
      <c r="F67" s="53">
        <f>ROUND(2*E67,0)/2+0.5</f>
        <v>13065.5</v>
      </c>
      <c r="G67" s="1">
        <f>+C67-(C$7+F67*C$8)</f>
        <v>-0.32906762062339112</v>
      </c>
      <c r="H67" s="1">
        <f>G67</f>
        <v>-0.32906762062339112</v>
      </c>
      <c r="Q67" s="72">
        <f>+C67-15018.5</f>
        <v>21211.14</v>
      </c>
    </row>
    <row r="68" spans="1:21" x14ac:dyDescent="0.2">
      <c r="A68" s="50" t="s">
        <v>197</v>
      </c>
      <c r="B68" s="51" t="s">
        <v>35</v>
      </c>
      <c r="C68" s="50">
        <v>36231.294999999998</v>
      </c>
      <c r="E68" s="1">
        <f>+(C68-C$7)/C$8</f>
        <v>13067.461399109319</v>
      </c>
      <c r="F68" s="53">
        <f>ROUND(2*E68,0)/2+0.5</f>
        <v>13068</v>
      </c>
      <c r="G68" s="1">
        <f>+C68-(C$7+F68*C$8)</f>
        <v>-0.3641015013854485</v>
      </c>
      <c r="H68" s="1">
        <f>G68</f>
        <v>-0.3641015013854485</v>
      </c>
      <c r="Q68" s="72">
        <f>+C68-15018.5</f>
        <v>21212.794999999998</v>
      </c>
    </row>
    <row r="69" spans="1:21" x14ac:dyDescent="0.2">
      <c r="A69" s="50" t="s">
        <v>197</v>
      </c>
      <c r="B69" s="51" t="s">
        <v>36</v>
      </c>
      <c r="C69" s="50">
        <v>36231.629999999997</v>
      </c>
      <c r="E69" s="1">
        <f>+(C69-C$7)/C$8</f>
        <v>13067.95695130477</v>
      </c>
      <c r="F69" s="53">
        <f>ROUND(2*E69,0)/2+0.5</f>
        <v>13068.5</v>
      </c>
      <c r="G69" s="1">
        <f>+C69-(C$7+F69*C$8)</f>
        <v>-0.36710827753267949</v>
      </c>
      <c r="H69" s="1">
        <f>G69</f>
        <v>-0.36710827753267949</v>
      </c>
      <c r="Q69" s="72">
        <f>+C69-15018.5</f>
        <v>21213.129999999997</v>
      </c>
    </row>
    <row r="70" spans="1:21" x14ac:dyDescent="0.2">
      <c r="A70" s="50" t="s">
        <v>197</v>
      </c>
      <c r="B70" s="51" t="s">
        <v>36</v>
      </c>
      <c r="C70" s="50">
        <v>36232.281000000003</v>
      </c>
      <c r="E70" s="1">
        <f>+(C70-C$7)/C$8</f>
        <v>13068.91994975027</v>
      </c>
      <c r="F70" s="53">
        <f>ROUND(2*E70,0)/2+0.5</f>
        <v>13069.5</v>
      </c>
      <c r="G70" s="1">
        <f>+C70-(C$7+F70*C$8)</f>
        <v>-0.39212182983465027</v>
      </c>
      <c r="H70" s="1">
        <f>G70</f>
        <v>-0.39212182983465027</v>
      </c>
      <c r="Q70" s="72">
        <f>+C70-15018.5</f>
        <v>21213.781000000003</v>
      </c>
    </row>
    <row r="71" spans="1:21" x14ac:dyDescent="0.2">
      <c r="A71" s="50" t="s">
        <v>197</v>
      </c>
      <c r="B71" s="51" t="s">
        <v>35</v>
      </c>
      <c r="C71" s="50">
        <v>36245.49</v>
      </c>
      <c r="E71" s="1">
        <f>+(C71-C$7)/C$8</f>
        <v>13088.459498853965</v>
      </c>
      <c r="F71" s="53">
        <f>ROUND(2*E71,0)/2+0.5</f>
        <v>13089</v>
      </c>
      <c r="G71" s="1">
        <f>+C71-(C$7+F71*C$8)</f>
        <v>-0.36538609975832514</v>
      </c>
      <c r="H71" s="1">
        <f>G71</f>
        <v>-0.36538609975832514</v>
      </c>
      <c r="Q71" s="72">
        <f>+C71-15018.5</f>
        <v>21226.989999999998</v>
      </c>
    </row>
    <row r="72" spans="1:21" x14ac:dyDescent="0.2">
      <c r="A72" s="12" t="s">
        <v>34</v>
      </c>
      <c r="B72" s="54" t="s">
        <v>35</v>
      </c>
      <c r="C72" s="55">
        <v>39125.411</v>
      </c>
      <c r="D72" s="20"/>
      <c r="E72" s="1">
        <f>+(C72-C$7)/C$8</f>
        <v>17348.612257902929</v>
      </c>
      <c r="F72" s="53">
        <f>ROUND(2*E72,0)/2+0.5</f>
        <v>17349</v>
      </c>
      <c r="G72" s="1">
        <f>+C72-(C$7+F72*C$8)</f>
        <v>-0.26211891241837293</v>
      </c>
      <c r="I72" s="1">
        <f>G72</f>
        <v>-0.26211891241837293</v>
      </c>
      <c r="Q72" s="72">
        <f>+C72-15018.5</f>
        <v>24106.911</v>
      </c>
    </row>
    <row r="73" spans="1:21" x14ac:dyDescent="0.2">
      <c r="A73" s="12" t="s">
        <v>34</v>
      </c>
      <c r="B73" s="54" t="s">
        <v>36</v>
      </c>
      <c r="C73" s="55">
        <v>39125.743999999999</v>
      </c>
      <c r="D73" s="20"/>
      <c r="E73" s="1">
        <f>+(C73-C$7)/C$8</f>
        <v>17349.104851577813</v>
      </c>
      <c r="F73" s="53">
        <f>ROUND(2*E73,0)/2+0.5</f>
        <v>17349.5</v>
      </c>
      <c r="G73" s="1">
        <f>+C73-(C$7+F73*C$8)</f>
        <v>-0.26712568857328733</v>
      </c>
      <c r="I73" s="1">
        <f>G73</f>
        <v>-0.26712568857328733</v>
      </c>
      <c r="Q73" s="72">
        <f>+C73-15018.5</f>
        <v>24107.243999999999</v>
      </c>
    </row>
    <row r="74" spans="1:21" x14ac:dyDescent="0.2">
      <c r="A74" s="50" t="s">
        <v>337</v>
      </c>
      <c r="B74" s="51" t="s">
        <v>36</v>
      </c>
      <c r="C74" s="50">
        <v>49005.290699999998</v>
      </c>
      <c r="E74" s="1">
        <f>+(C74-C$7)/C$8</f>
        <v>31963.525918043899</v>
      </c>
      <c r="F74" s="1">
        <f>ROUND(2*E74,0)/2</f>
        <v>31963.5</v>
      </c>
      <c r="G74" s="1">
        <f>+C74-(C$7+F74*C$8)</f>
        <v>1.7520948924357072E-2</v>
      </c>
      <c r="J74" s="1">
        <f>G74</f>
        <v>1.7520948924357072E-2</v>
      </c>
      <c r="Q74" s="72">
        <f>+C74-15018.5</f>
        <v>33986.790699999998</v>
      </c>
    </row>
    <row r="75" spans="1:21" x14ac:dyDescent="0.2">
      <c r="A75" s="17" t="s">
        <v>379</v>
      </c>
      <c r="B75" s="56" t="s">
        <v>36</v>
      </c>
      <c r="C75" s="17">
        <v>49005.291700000002</v>
      </c>
      <c r="D75" s="17">
        <v>1.5E-3</v>
      </c>
      <c r="E75" s="1">
        <f>+(C75-C$7)/C$8</f>
        <v>31963.527397304188</v>
      </c>
      <c r="F75" s="1">
        <f>ROUND(2*E75,0)/2</f>
        <v>31963.5</v>
      </c>
      <c r="G75" s="1">
        <f>+C75-(C$7+F75*C$8)</f>
        <v>1.8520948928198777E-2</v>
      </c>
      <c r="K75" s="1">
        <f>G75</f>
        <v>1.8520948928198777E-2</v>
      </c>
      <c r="Q75" s="72">
        <f>+C75-15018.5</f>
        <v>33986.791700000002</v>
      </c>
    </row>
    <row r="76" spans="1:21" x14ac:dyDescent="0.2">
      <c r="A76" s="50" t="s">
        <v>337</v>
      </c>
      <c r="B76" s="51" t="s">
        <v>36</v>
      </c>
      <c r="C76" s="50">
        <v>49005.292600000001</v>
      </c>
      <c r="E76" s="1">
        <f>+(C76-C$7)/C$8</f>
        <v>31963.528728638445</v>
      </c>
      <c r="F76" s="1">
        <f>ROUND(2*E76,0)/2</f>
        <v>31963.5</v>
      </c>
      <c r="G76" s="1">
        <f>+C76-(C$7+F76*C$8)</f>
        <v>1.9420948927290738E-2</v>
      </c>
      <c r="J76" s="1">
        <f>G76</f>
        <v>1.9420948927290738E-2</v>
      </c>
      <c r="Q76" s="72">
        <f>+C76-15018.5</f>
        <v>33986.792600000001</v>
      </c>
    </row>
    <row r="77" spans="1:21" x14ac:dyDescent="0.2">
      <c r="A77" s="50" t="s">
        <v>345</v>
      </c>
      <c r="B77" s="51" t="s">
        <v>35</v>
      </c>
      <c r="C77" s="50">
        <v>49310.515700000004</v>
      </c>
      <c r="E77" s="1">
        <f>+(C77-C$7)/C$8</f>
        <v>32415.033138513052</v>
      </c>
      <c r="F77" s="1">
        <f>ROUND(2*E77,0)/2</f>
        <v>32415</v>
      </c>
      <c r="G77" s="1">
        <f>+C77-(C$7+F77*C$8)</f>
        <v>2.2402083923225291E-2</v>
      </c>
      <c r="J77" s="1">
        <f>G77</f>
        <v>2.2402083923225291E-2</v>
      </c>
      <c r="Q77" s="72">
        <f>+C77-15018.5</f>
        <v>34292.015700000004</v>
      </c>
    </row>
    <row r="78" spans="1:21" x14ac:dyDescent="0.2">
      <c r="A78" s="17" t="s">
        <v>379</v>
      </c>
      <c r="B78" s="56" t="s">
        <v>35</v>
      </c>
      <c r="C78" s="17">
        <v>49310.516300000003</v>
      </c>
      <c r="D78" s="17">
        <v>1.6000000000000001E-3</v>
      </c>
      <c r="E78" s="1">
        <f>+(C78-C$7)/C$8</f>
        <v>32415.034026069221</v>
      </c>
      <c r="F78" s="1">
        <f>ROUND(2*E78,0)/2</f>
        <v>32415</v>
      </c>
      <c r="G78" s="1">
        <f>+C78-(C$7+F78*C$8)</f>
        <v>2.3002083922619931E-2</v>
      </c>
      <c r="K78" s="1">
        <f>G78</f>
        <v>2.3002083922619931E-2</v>
      </c>
      <c r="Q78" s="72">
        <f>+C78-15018.5</f>
        <v>34292.016300000003</v>
      </c>
    </row>
    <row r="79" spans="1:21" x14ac:dyDescent="0.2">
      <c r="A79" s="50" t="s">
        <v>345</v>
      </c>
      <c r="B79" s="51" t="s">
        <v>35</v>
      </c>
      <c r="C79" s="50">
        <v>49310.516600000003</v>
      </c>
      <c r="E79" s="1">
        <f>+(C79-C$7)/C$8</f>
        <v>32415.034469847305</v>
      </c>
      <c r="F79" s="1">
        <f>ROUND(2*E79,0)/2</f>
        <v>32415</v>
      </c>
      <c r="G79" s="1">
        <f>+C79-(C$7+F79*C$8)</f>
        <v>2.3302083922317252E-2</v>
      </c>
      <c r="J79" s="1">
        <f>G79</f>
        <v>2.3302083922317252E-2</v>
      </c>
      <c r="Q79" s="72">
        <f>+C79-15018.5</f>
        <v>34292.016600000003</v>
      </c>
    </row>
    <row r="80" spans="1:21" x14ac:dyDescent="0.2">
      <c r="A80" s="15" t="s">
        <v>37</v>
      </c>
      <c r="B80" s="15"/>
      <c r="C80" s="57">
        <v>50540.578999999998</v>
      </c>
      <c r="D80" s="57">
        <v>2E-3</v>
      </c>
      <c r="E80" s="10">
        <f>+(C80-C$7)/C$8</f>
        <v>34234.61692615856</v>
      </c>
      <c r="F80" s="10">
        <f>ROUND(2*E80,0)/2</f>
        <v>34234.5</v>
      </c>
      <c r="I80" s="10"/>
      <c r="Q80" s="72">
        <f>+C80-15018.5</f>
        <v>35522.078999999998</v>
      </c>
      <c r="U80" s="10">
        <f>+C80-(C$7+F80*C$8)</f>
        <v>7.9043667807127349E-2</v>
      </c>
    </row>
    <row r="81" spans="1:17" x14ac:dyDescent="0.2">
      <c r="A81" s="50" t="s">
        <v>352</v>
      </c>
      <c r="B81" s="51" t="s">
        <v>35</v>
      </c>
      <c r="C81" s="50">
        <v>51249.356599999999</v>
      </c>
      <c r="E81" s="1">
        <f>+(C81-C$7)/C$8</f>
        <v>35283.083480689784</v>
      </c>
      <c r="F81" s="1">
        <f>ROUND(2*E81,0)/2</f>
        <v>35283</v>
      </c>
      <c r="G81" s="1">
        <f>+C81-(C$7+F81*C$8)</f>
        <v>5.6434077647281811E-2</v>
      </c>
      <c r="J81" s="1">
        <f>G81</f>
        <v>5.6434077647281811E-2</v>
      </c>
      <c r="Q81" s="72">
        <f>+C81-15018.5</f>
        <v>36230.856599999999</v>
      </c>
    </row>
    <row r="82" spans="1:17" x14ac:dyDescent="0.2">
      <c r="A82" s="17" t="s">
        <v>37</v>
      </c>
      <c r="B82" s="58"/>
      <c r="C82" s="17">
        <v>51249.358</v>
      </c>
      <c r="D82" s="57">
        <v>1.1999999999999999E-3</v>
      </c>
      <c r="E82" s="1">
        <f>+(C82-C$7)/C$8</f>
        <v>35283.085551654185</v>
      </c>
      <c r="F82" s="1">
        <f>ROUND(2*E82,0)/2</f>
        <v>35283</v>
      </c>
      <c r="G82" s="1">
        <f>+C82-(C$7+F82*C$8)</f>
        <v>5.7834077648294624E-2</v>
      </c>
      <c r="J82" s="1">
        <f>G82</f>
        <v>5.7834077648294624E-2</v>
      </c>
      <c r="Q82" s="72">
        <f>+C82-15018.5</f>
        <v>36230.858</v>
      </c>
    </row>
    <row r="83" spans="1:17" x14ac:dyDescent="0.2">
      <c r="A83" s="50" t="s">
        <v>352</v>
      </c>
      <c r="B83" s="51" t="s">
        <v>35</v>
      </c>
      <c r="C83" s="50">
        <v>51249.359499999999</v>
      </c>
      <c r="E83" s="1">
        <f>+(C83-C$7)/C$8</f>
        <v>35283.087770544611</v>
      </c>
      <c r="F83" s="1">
        <f>ROUND(2*E83,0)/2</f>
        <v>35283</v>
      </c>
      <c r="G83" s="1">
        <f>+C83-(C$7+F83*C$8)</f>
        <v>5.9334077646781225E-2</v>
      </c>
      <c r="J83" s="1">
        <f>G83</f>
        <v>5.9334077646781225E-2</v>
      </c>
      <c r="Q83" s="72">
        <f>+C83-15018.5</f>
        <v>36230.859499999999</v>
      </c>
    </row>
    <row r="84" spans="1:17" x14ac:dyDescent="0.2">
      <c r="A84" s="15" t="s">
        <v>39</v>
      </c>
      <c r="B84" s="15"/>
      <c r="C84" s="57">
        <v>51470.416899999997</v>
      </c>
      <c r="D84" s="57">
        <v>7.0000000000000001E-3</v>
      </c>
      <c r="E84" s="1">
        <f>+(C84-C$7)/C$8</f>
        <v>35610.089203055497</v>
      </c>
      <c r="F84" s="1">
        <f>ROUND(2*E84,0)/2</f>
        <v>35610</v>
      </c>
      <c r="G84" s="1">
        <f>+C84-(C$7+F84*C$8)</f>
        <v>6.030247441958636E-2</v>
      </c>
      <c r="J84" s="1">
        <f>G84</f>
        <v>6.030247441958636E-2</v>
      </c>
      <c r="Q84" s="72">
        <f>+C84-15018.5</f>
        <v>36451.916899999997</v>
      </c>
    </row>
    <row r="85" spans="1:17" x14ac:dyDescent="0.2">
      <c r="A85" s="17" t="s">
        <v>40</v>
      </c>
      <c r="B85" s="58"/>
      <c r="C85" s="59">
        <v>51923.353499999997</v>
      </c>
      <c r="D85" s="57"/>
      <c r="E85" s="1">
        <f>+(C85-C$7)/C$8</f>
        <v>36280.100327028777</v>
      </c>
      <c r="F85" s="1">
        <f>ROUND(2*E85,0)/2</f>
        <v>36280</v>
      </c>
      <c r="G85" s="1">
        <f>+C85-(C$7+F85*C$8)</f>
        <v>6.782243111229036E-2</v>
      </c>
      <c r="J85" s="1">
        <f>G85</f>
        <v>6.782243111229036E-2</v>
      </c>
      <c r="Q85" s="72">
        <f>+C85-15018.5</f>
        <v>36904.853499999997</v>
      </c>
    </row>
    <row r="86" spans="1:17" x14ac:dyDescent="0.2">
      <c r="A86" s="60" t="s">
        <v>380</v>
      </c>
      <c r="B86" s="61" t="s">
        <v>35</v>
      </c>
      <c r="C86" s="57">
        <v>52260.69</v>
      </c>
      <c r="D86" s="57">
        <v>1E-3</v>
      </c>
      <c r="E86" s="1">
        <f>+(C86-C$7)/C$8</f>
        <v>36779.108814137602</v>
      </c>
      <c r="F86" s="1">
        <f>ROUND(2*E86,0)/2</f>
        <v>36779</v>
      </c>
      <c r="G86" s="1">
        <f>+C86-(C$7+F86*C$8)</f>
        <v>7.3559831704187673E-2</v>
      </c>
      <c r="K86" s="1">
        <f>G86</f>
        <v>7.3559831704187673E-2</v>
      </c>
      <c r="Q86" s="72">
        <f>+C86-15018.5</f>
        <v>37242.19</v>
      </c>
    </row>
    <row r="87" spans="1:17" x14ac:dyDescent="0.2">
      <c r="A87" s="62" t="s">
        <v>381</v>
      </c>
      <c r="B87" s="63" t="s">
        <v>35</v>
      </c>
      <c r="C87" s="64">
        <v>52325.591999999997</v>
      </c>
      <c r="D87" s="64">
        <v>5.0000000000000001E-3</v>
      </c>
      <c r="E87" s="1">
        <f>+(C87-C$7)/C$8</f>
        <v>36875.115765150418</v>
      </c>
      <c r="F87" s="1">
        <f>ROUND(2*E87,0)/2</f>
        <v>36875</v>
      </c>
      <c r="G87" s="1">
        <f>+C87-(C$7+F87*C$8)</f>
        <v>7.825881057215156E-2</v>
      </c>
      <c r="K87" s="1">
        <f>G87</f>
        <v>7.825881057215156E-2</v>
      </c>
      <c r="Q87" s="72">
        <f>+C87-15018.5</f>
        <v>37307.091999999997</v>
      </c>
    </row>
    <row r="88" spans="1:17" x14ac:dyDescent="0.2">
      <c r="A88" s="17" t="s">
        <v>379</v>
      </c>
      <c r="B88" s="56" t="s">
        <v>36</v>
      </c>
      <c r="C88" s="17">
        <v>52611.199500000002</v>
      </c>
      <c r="D88" s="17">
        <v>8.9999999999999998E-4</v>
      </c>
      <c r="E88" s="1">
        <f>+(C88-C$7)/C$8</f>
        <v>37297.603596979869</v>
      </c>
      <c r="F88" s="1">
        <f>ROUND(2*E88,0)/2</f>
        <v>37297.5</v>
      </c>
      <c r="G88" s="1">
        <f>+C88-(C$7+F88*C$8)</f>
        <v>7.0032962365075946E-2</v>
      </c>
      <c r="K88" s="1">
        <f>G88</f>
        <v>7.0032962365075946E-2</v>
      </c>
      <c r="Q88" s="72">
        <f>+C88-15018.5</f>
        <v>37592.699500000002</v>
      </c>
    </row>
    <row r="89" spans="1:17" x14ac:dyDescent="0.2">
      <c r="A89" s="17" t="s">
        <v>379</v>
      </c>
      <c r="B89" s="56" t="s">
        <v>35</v>
      </c>
      <c r="C89" s="17">
        <v>52612.216399999998</v>
      </c>
      <c r="D89" s="17">
        <v>4.0000000000000002E-4</v>
      </c>
      <c r="E89" s="1">
        <f>+(C89-C$7)/C$8</f>
        <v>37299.107856763614</v>
      </c>
      <c r="F89" s="1">
        <f>ROUND(2*E89,0)/2</f>
        <v>37299</v>
      </c>
      <c r="G89" s="1">
        <f>+C89-(C$7+F89*C$8)</f>
        <v>7.2912633906526025E-2</v>
      </c>
      <c r="K89" s="1">
        <f>G89</f>
        <v>7.2912633906526025E-2</v>
      </c>
      <c r="O89" s="1">
        <f ca="1">+C$11+C$12*F89</f>
        <v>8.0449185322229527E-2</v>
      </c>
      <c r="Q89" s="72">
        <f>+C89-15018.5</f>
        <v>37593.716399999998</v>
      </c>
    </row>
    <row r="90" spans="1:17" x14ac:dyDescent="0.2">
      <c r="A90" s="17" t="s">
        <v>379</v>
      </c>
      <c r="B90" s="56" t="s">
        <v>36</v>
      </c>
      <c r="C90" s="17">
        <v>52613.224999999999</v>
      </c>
      <c r="D90" s="17">
        <v>6.9999999999999999E-4</v>
      </c>
      <c r="E90" s="1">
        <f>+(C90-C$7)/C$8</f>
        <v>37300.599838686998</v>
      </c>
      <c r="F90" s="1">
        <f>ROUND(2*E90,0)/2</f>
        <v>37300.5</v>
      </c>
      <c r="G90" s="1">
        <f>+C90-(C$7+F90*C$8)</f>
        <v>6.7492305453924928E-2</v>
      </c>
      <c r="K90" s="1">
        <f>G90</f>
        <v>6.7492305453924928E-2</v>
      </c>
      <c r="O90" s="1">
        <f ca="1">+C$11+C$12*F90</f>
        <v>8.0459186448061298E-2</v>
      </c>
      <c r="Q90" s="72">
        <f>+C90-15018.5</f>
        <v>37594.724999999999</v>
      </c>
    </row>
    <row r="91" spans="1:17" x14ac:dyDescent="0.2">
      <c r="A91" s="15" t="s">
        <v>41</v>
      </c>
      <c r="B91" s="15"/>
      <c r="C91" s="57">
        <v>52696.383600000001</v>
      </c>
      <c r="D91" s="57">
        <v>5.9999999999999995E-4</v>
      </c>
      <c r="E91" s="1">
        <f>+(C91-C$7)/C$8</f>
        <v>37423.613053017762</v>
      </c>
      <c r="F91" s="1">
        <f>ROUND(2*E91,0)/2</f>
        <v>37423.5</v>
      </c>
      <c r="G91" s="1">
        <f>+C91-(C$7+F91*C$8)</f>
        <v>7.6425372128142044E-2</v>
      </c>
      <c r="J91" s="1">
        <f>G91</f>
        <v>7.6425372128142044E-2</v>
      </c>
      <c r="O91" s="1">
        <f ca="1">+C$11+C$12*F91</f>
        <v>8.1279278766267476E-2</v>
      </c>
      <c r="Q91" s="72">
        <f>+C91-15018.5</f>
        <v>37677.883600000001</v>
      </c>
    </row>
    <row r="92" spans="1:17" x14ac:dyDescent="0.2">
      <c r="A92" s="50" t="s">
        <v>379</v>
      </c>
      <c r="B92" s="51" t="s">
        <v>35</v>
      </c>
      <c r="C92" s="50">
        <v>53055.011700000003</v>
      </c>
      <c r="E92" s="1">
        <f>+(C92-C$7)/C$8</f>
        <v>37954.11735840929</v>
      </c>
      <c r="F92" s="1">
        <f>ROUND(2*E92,0)/2</f>
        <v>37954</v>
      </c>
      <c r="G92" s="1">
        <f>+C92-(C$7+F92*C$8)</f>
        <v>7.9335875154356472E-2</v>
      </c>
      <c r="K92" s="1">
        <f>G92</f>
        <v>7.9335875154356472E-2</v>
      </c>
      <c r="O92" s="1">
        <f ca="1">+C$11+C$12*F92</f>
        <v>8.4816343602107908E-2</v>
      </c>
      <c r="Q92" s="72">
        <f>+C92-15018.5</f>
        <v>38036.511700000003</v>
      </c>
    </row>
    <row r="93" spans="1:17" x14ac:dyDescent="0.2">
      <c r="A93" s="12" t="s">
        <v>382</v>
      </c>
      <c r="B93" s="61" t="s">
        <v>36</v>
      </c>
      <c r="C93" s="57">
        <v>53387.276599999997</v>
      </c>
      <c r="D93" s="57">
        <v>1.4E-3</v>
      </c>
      <c r="E93" s="1">
        <f>+(C93-C$7)/C$8</f>
        <v>38445.62362905703</v>
      </c>
      <c r="F93" s="1">
        <f>ROUND(2*E93,0)/2</f>
        <v>38445.5</v>
      </c>
      <c r="G93" s="1">
        <f>+C93-(C$7+F93*C$8)</f>
        <v>8.3574918011436239E-2</v>
      </c>
      <c r="J93" s="1">
        <f>G93</f>
        <v>8.3574918011436239E-2</v>
      </c>
      <c r="O93" s="1">
        <f ca="1">+C$11+C$12*F93</f>
        <v>8.8093379166322011E-2</v>
      </c>
      <c r="Q93" s="72">
        <f>+C93-15018.5</f>
        <v>38368.776599999997</v>
      </c>
    </row>
    <row r="94" spans="1:17" x14ac:dyDescent="0.2">
      <c r="A94" s="12" t="s">
        <v>382</v>
      </c>
      <c r="B94" s="65"/>
      <c r="C94" s="57">
        <v>53387.619200000001</v>
      </c>
      <c r="D94" s="57">
        <v>5.0000000000000001E-4</v>
      </c>
      <c r="E94" s="1">
        <f>+(C94-C$7)/C$8</f>
        <v>38446.130423630653</v>
      </c>
      <c r="F94" s="1">
        <f>ROUND(2*E94,0)/2</f>
        <v>38446</v>
      </c>
      <c r="G94" s="1">
        <f>+C94-(C$7+F94*C$8)</f>
        <v>8.8168141868663952E-2</v>
      </c>
      <c r="J94" s="1">
        <f>G94</f>
        <v>8.8168141868663952E-2</v>
      </c>
      <c r="O94" s="1">
        <f ca="1">+C$11+C$12*F94</f>
        <v>8.809671287493262E-2</v>
      </c>
      <c r="Q94" s="72">
        <f>+C94-15018.5</f>
        <v>38369.119200000001</v>
      </c>
    </row>
    <row r="95" spans="1:17" x14ac:dyDescent="0.2">
      <c r="A95" s="66" t="s">
        <v>45</v>
      </c>
      <c r="B95" s="15"/>
      <c r="C95" s="57">
        <v>53439.672500000001</v>
      </c>
      <c r="D95" s="57">
        <v>2.0000000000000001E-4</v>
      </c>
      <c r="E95" s="1">
        <f>+(C95-C$7)/C$8</f>
        <v>38523.130803020438</v>
      </c>
      <c r="F95" s="1">
        <f>ROUND(2*E95,0)/2</f>
        <v>38523</v>
      </c>
      <c r="G95" s="1">
        <f>+C95-(C$7+F95*C$8)</f>
        <v>8.8424614499672316E-2</v>
      </c>
      <c r="K95" s="1">
        <f>G95</f>
        <v>8.8424614499672316E-2</v>
      </c>
      <c r="O95" s="1">
        <f ca="1">+C$11+C$12*F95</f>
        <v>8.8610104000964113E-2</v>
      </c>
      <c r="Q95" s="72">
        <f>+C95-15018.5</f>
        <v>38421.172500000001</v>
      </c>
    </row>
    <row r="96" spans="1:17" x14ac:dyDescent="0.2">
      <c r="A96" s="57" t="s">
        <v>383</v>
      </c>
      <c r="B96" s="65"/>
      <c r="C96" s="57">
        <v>54001.445099999997</v>
      </c>
      <c r="D96" s="57">
        <v>1.6999999999999999E-3</v>
      </c>
      <c r="E96" s="1">
        <f>+(C96-C$7)/C$8</f>
        <v>39354.138699364848</v>
      </c>
      <c r="F96" s="1">
        <f>ROUND(2*E96,0)/2</f>
        <v>39354</v>
      </c>
      <c r="G96" s="1">
        <f>+C96-(C$7+F96*C$8)</f>
        <v>9.3762650329153985E-2</v>
      </c>
      <c r="J96" s="1">
        <f>G96</f>
        <v>9.3762650329153985E-2</v>
      </c>
      <c r="O96" s="1">
        <f ca="1">+C$11+C$12*F96</f>
        <v>9.4150727711771659E-2</v>
      </c>
      <c r="Q96" s="72">
        <f>+C96-15018.5</f>
        <v>38982.945099999997</v>
      </c>
    </row>
    <row r="97" spans="1:21" x14ac:dyDescent="0.2">
      <c r="A97" s="66" t="s">
        <v>384</v>
      </c>
      <c r="B97" s="58"/>
      <c r="C97" s="59">
        <v>54006.8531</v>
      </c>
      <c r="D97" s="57">
        <v>2.0000000000000001E-4</v>
      </c>
      <c r="E97" s="1">
        <f>+(C97-C$7)/C$8</f>
        <v>39362.138538985782</v>
      </c>
      <c r="F97" s="1">
        <f>ROUND(2*E97,0)/2</f>
        <v>39362</v>
      </c>
      <c r="G97" s="1">
        <f>+C97-(C$7+F97*C$8)</f>
        <v>9.3654231910477392E-2</v>
      </c>
      <c r="K97" s="1">
        <f>G97</f>
        <v>9.3654231910477392E-2</v>
      </c>
      <c r="O97" s="1">
        <f ca="1">+C$11+C$12*F97</f>
        <v>9.4204067049541179E-2</v>
      </c>
      <c r="Q97" s="72">
        <f>+C97-15018.5</f>
        <v>38988.3531</v>
      </c>
    </row>
    <row r="98" spans="1:21" x14ac:dyDescent="0.2">
      <c r="A98" s="57" t="s">
        <v>385</v>
      </c>
      <c r="B98" s="61" t="s">
        <v>35</v>
      </c>
      <c r="C98" s="57">
        <v>54506.4352</v>
      </c>
      <c r="D98" s="57">
        <v>1E-3</v>
      </c>
      <c r="E98" s="1">
        <f>+(C98-C$7)/C$8</f>
        <v>40101.150498579977</v>
      </c>
      <c r="F98" s="1">
        <f>ROUND(2*E98,0)/2</f>
        <v>40101</v>
      </c>
      <c r="G98" s="1">
        <f>+C98-(C$7+F98*C$8)</f>
        <v>0.1017390796696418</v>
      </c>
      <c r="J98" s="1">
        <f>G98</f>
        <v>0.1017390796696418</v>
      </c>
      <c r="O98" s="1">
        <f ca="1">+C$11+C$12*F98</f>
        <v>9.913128837599941E-2</v>
      </c>
      <c r="Q98" s="72">
        <f>+C98-15018.5</f>
        <v>39487.9352</v>
      </c>
    </row>
    <row r="99" spans="1:21" x14ac:dyDescent="0.2">
      <c r="A99" s="57" t="s">
        <v>386</v>
      </c>
      <c r="B99" s="61" t="s">
        <v>35</v>
      </c>
      <c r="C99" s="57">
        <v>54774.807999999997</v>
      </c>
      <c r="D99" s="57">
        <v>5.0000000000000001E-3</v>
      </c>
      <c r="E99" s="1">
        <f>+(C99-C$7)/C$8</f>
        <v>40498.143723176654</v>
      </c>
      <c r="F99" s="1">
        <f>ROUND(2*E99,0)/2</f>
        <v>40498</v>
      </c>
      <c r="G99" s="1">
        <f>+C99-(C$7+F99*C$8)</f>
        <v>9.7158815195143688E-2</v>
      </c>
      <c r="K99" s="1">
        <f>G99</f>
        <v>9.7158815195143688E-2</v>
      </c>
      <c r="O99" s="1">
        <f ca="1">+C$11+C$12*F99</f>
        <v>0.10177825301281115</v>
      </c>
      <c r="Q99" s="72">
        <f>+C99-15018.5</f>
        <v>39756.307999999997</v>
      </c>
    </row>
    <row r="100" spans="1:21" x14ac:dyDescent="0.2">
      <c r="A100" s="60" t="s">
        <v>380</v>
      </c>
      <c r="B100" s="61" t="s">
        <v>35</v>
      </c>
      <c r="C100" s="57">
        <v>54828.219899999996</v>
      </c>
      <c r="D100" s="57">
        <v>2.9999999999999997E-4</v>
      </c>
      <c r="E100" s="1">
        <f>+(C100-C$7)/C$8</f>
        <v>40577.153825589543</v>
      </c>
      <c r="F100" s="1">
        <f>ROUND(2*E100,0)/2</f>
        <v>40577</v>
      </c>
      <c r="G100" s="1">
        <f>+C100-(C$7+F100*C$8)</f>
        <v>0.10398818322573788</v>
      </c>
      <c r="K100" s="1">
        <f>G100</f>
        <v>0.10398818322573788</v>
      </c>
      <c r="O100" s="1">
        <f ca="1">+C$11+C$12*F100</f>
        <v>0.10230497897328508</v>
      </c>
      <c r="Q100" s="72">
        <f>+C100-15018.5</f>
        <v>39809.719899999996</v>
      </c>
    </row>
    <row r="101" spans="1:21" x14ac:dyDescent="0.2">
      <c r="A101" s="17" t="s">
        <v>387</v>
      </c>
      <c r="B101" s="56" t="s">
        <v>35</v>
      </c>
      <c r="C101" s="17">
        <v>54879.535300000003</v>
      </c>
      <c r="D101" s="17">
        <v>1E-4</v>
      </c>
      <c r="E101" s="1">
        <f>+(C101-C$7)/C$8</f>
        <v>40653.062658815084</v>
      </c>
      <c r="F101" s="1">
        <f>ROUND(2*E101,0)/2</f>
        <v>40653</v>
      </c>
      <c r="O101" s="1">
        <f ca="1">+C$11+C$12*F101</f>
        <v>0.10281170268209536</v>
      </c>
      <c r="Q101" s="72">
        <f>+C101-15018.5</f>
        <v>39861.035300000003</v>
      </c>
      <c r="U101" s="10">
        <v>4.2358208171208389E-2</v>
      </c>
    </row>
    <row r="102" spans="1:21" x14ac:dyDescent="0.2">
      <c r="A102" s="60" t="s">
        <v>388</v>
      </c>
      <c r="B102" s="61" t="s">
        <v>35</v>
      </c>
      <c r="C102" s="57">
        <v>54880.272700000001</v>
      </c>
      <c r="D102" s="57">
        <v>1E-4</v>
      </c>
      <c r="E102" s="1">
        <f>+(C102-C$7)/C$8</f>
        <v>40654.153465349191</v>
      </c>
      <c r="F102" s="1">
        <f>ROUND(2*E102,0)/2</f>
        <v>40654</v>
      </c>
      <c r="G102" s="1">
        <f>+C102-(C$7+F102*C$8)</f>
        <v>0.10374465586210135</v>
      </c>
      <c r="K102" s="1">
        <f>G102</f>
        <v>0.10374465586210135</v>
      </c>
      <c r="O102" s="1">
        <f ca="1">+C$11+C$12*F102</f>
        <v>0.10281837009931658</v>
      </c>
      <c r="Q102" s="72">
        <f>+C102-15018.5</f>
        <v>39861.772700000001</v>
      </c>
    </row>
    <row r="103" spans="1:21" x14ac:dyDescent="0.2">
      <c r="A103" s="50" t="s">
        <v>364</v>
      </c>
      <c r="B103" s="51" t="s">
        <v>35</v>
      </c>
      <c r="C103" s="50">
        <v>55155.413099999998</v>
      </c>
      <c r="E103" s="1">
        <f>+(C103-C$7)/C$8</f>
        <v>41061.157731850195</v>
      </c>
      <c r="F103" s="1">
        <f>ROUND(2*E103,0)/2</f>
        <v>41061</v>
      </c>
      <c r="G103" s="1">
        <f>+C103-(C$7+F103*C$8)</f>
        <v>0.10662886835780228</v>
      </c>
      <c r="K103" s="1">
        <f>G103</f>
        <v>0.10662886835780228</v>
      </c>
      <c r="O103" s="1">
        <f ca="1">+C$11+C$12*F103</f>
        <v>0.10553200890834022</v>
      </c>
      <c r="Q103" s="72">
        <f>+C103-15018.5</f>
        <v>40136.913099999998</v>
      </c>
    </row>
    <row r="104" spans="1:21" x14ac:dyDescent="0.2">
      <c r="A104" s="60" t="s">
        <v>389</v>
      </c>
      <c r="B104" s="61" t="s">
        <v>35</v>
      </c>
      <c r="C104" s="57">
        <v>55500.859499999999</v>
      </c>
      <c r="D104" s="57">
        <v>2.9999999999999997E-4</v>
      </c>
      <c r="E104" s="1">
        <f>+(C104-C$7)/C$8</f>
        <v>41572.162871943801</v>
      </c>
      <c r="F104" s="1">
        <f>ROUND(2*E104,0)/2</f>
        <v>41572</v>
      </c>
      <c r="G104" s="1">
        <f>+C104-(C$7+F104*C$8)</f>
        <v>0.11010364130197559</v>
      </c>
      <c r="K104" s="1">
        <f>G104</f>
        <v>0.11010364130197559</v>
      </c>
      <c r="O104" s="1">
        <f ca="1">+C$11+C$12*F104</f>
        <v>0.10893905910836751</v>
      </c>
      <c r="Q104" s="72">
        <f>+C104-15018.5</f>
        <v>40482.359499999999</v>
      </c>
    </row>
    <row r="105" spans="1:21" x14ac:dyDescent="0.2">
      <c r="A105" s="60" t="s">
        <v>390</v>
      </c>
      <c r="B105" s="61" t="s">
        <v>35</v>
      </c>
      <c r="C105" s="57">
        <v>55629.3024</v>
      </c>
      <c r="D105" s="57">
        <v>2.9999999999999997E-4</v>
      </c>
      <c r="E105" s="1">
        <f>+(C105-C$7)/C$8</f>
        <v>41762.163352795622</v>
      </c>
      <c r="F105" s="1">
        <f>ROUND(2*E105,0)/2</f>
        <v>41762</v>
      </c>
      <c r="G105" s="1">
        <f>+C105-(C$7+F105*C$8)</f>
        <v>0.11042870365054114</v>
      </c>
      <c r="K105" s="1">
        <f>G105</f>
        <v>0.11042870365054114</v>
      </c>
      <c r="O105" s="1">
        <f ca="1">+C$11+C$12*F105</f>
        <v>0.11020586838039328</v>
      </c>
      <c r="Q105" s="72">
        <f>+C105-15018.5</f>
        <v>40610.8024</v>
      </c>
    </row>
    <row r="106" spans="1:21" x14ac:dyDescent="0.2">
      <c r="A106" s="60" t="s">
        <v>390</v>
      </c>
      <c r="B106" s="61" t="s">
        <v>35</v>
      </c>
      <c r="C106" s="57">
        <v>55629.302799999998</v>
      </c>
      <c r="D106" s="57">
        <v>4.0000000000000002E-4</v>
      </c>
      <c r="E106" s="1">
        <f>+(C106-C$7)/C$8</f>
        <v>41762.163944499734</v>
      </c>
      <c r="F106" s="1">
        <f>ROUND(2*E106,0)/2</f>
        <v>41762</v>
      </c>
      <c r="G106" s="1">
        <f>+C106-(C$7+F106*C$8)</f>
        <v>0.11082870364771225</v>
      </c>
      <c r="K106" s="1">
        <f>G106</f>
        <v>0.11082870364771225</v>
      </c>
      <c r="O106" s="1">
        <f ca="1">+C$11+C$12*F106</f>
        <v>0.11020586838039328</v>
      </c>
      <c r="Q106" s="72">
        <f>+C106-15018.5</f>
        <v>40610.802799999998</v>
      </c>
    </row>
    <row r="107" spans="1:21" x14ac:dyDescent="0.2">
      <c r="A107" s="17" t="s">
        <v>391</v>
      </c>
      <c r="B107" s="56" t="s">
        <v>35</v>
      </c>
      <c r="C107" s="17">
        <v>55863.883000000002</v>
      </c>
      <c r="D107" s="17">
        <v>4.0000000000000002E-4</v>
      </c>
      <c r="E107" s="1">
        <f>+(C107-C$7)/C$8</f>
        <v>42109.16911799174</v>
      </c>
      <c r="F107" s="1">
        <f>ROUND(2*E107,0)/2</f>
        <v>42109</v>
      </c>
      <c r="G107" s="1">
        <f>+C107-(C$7+F107*C$8)</f>
        <v>0.11432605435402365</v>
      </c>
      <c r="K107" s="1">
        <f>G107</f>
        <v>0.11432605435402365</v>
      </c>
      <c r="O107" s="1">
        <f ca="1">+C$11+C$12*F107</f>
        <v>0.11251946215614569</v>
      </c>
      <c r="Q107" s="72">
        <f>+C107-15018.5</f>
        <v>40845.383000000002</v>
      </c>
    </row>
    <row r="108" spans="1:21" x14ac:dyDescent="0.2">
      <c r="A108" s="62" t="s">
        <v>392</v>
      </c>
      <c r="B108" s="63" t="s">
        <v>35</v>
      </c>
      <c r="C108" s="64">
        <v>55953.450299999997</v>
      </c>
      <c r="D108" s="64">
        <v>1.9E-3</v>
      </c>
      <c r="E108" s="1">
        <f>+(C108-C$7)/C$8</f>
        <v>42241.66246771055</v>
      </c>
      <c r="F108" s="1">
        <f>ROUND(2*E108,0)/2</f>
        <v>42241.5</v>
      </c>
      <c r="G108" s="1">
        <f>+C108-(C$7+F108*C$8)</f>
        <v>0.1098303741455311</v>
      </c>
      <c r="J108" s="1">
        <f>G108</f>
        <v>0.1098303741455311</v>
      </c>
      <c r="O108" s="1">
        <f ca="1">+C$11+C$12*F108</f>
        <v>0.11340289493795311</v>
      </c>
      <c r="Q108" s="72">
        <f>+C108-15018.5</f>
        <v>40934.950299999997</v>
      </c>
    </row>
    <row r="109" spans="1:21" x14ac:dyDescent="0.2">
      <c r="A109" s="62" t="s">
        <v>393</v>
      </c>
      <c r="B109" s="63" t="s">
        <v>35</v>
      </c>
      <c r="C109" s="64">
        <v>56310.729599999999</v>
      </c>
      <c r="D109" s="64">
        <v>5.0000000000000001E-4</v>
      </c>
      <c r="E109" s="1">
        <f>+(C109-C$7)/C$8</f>
        <v>42770.17154682977</v>
      </c>
      <c r="F109" s="1">
        <f>ROUND(2*E109,0)/2</f>
        <v>42770</v>
      </c>
      <c r="G109" s="1">
        <f>+C109-(C$7+F109*C$8)</f>
        <v>0.11596798177924938</v>
      </c>
      <c r="K109" s="1">
        <f>G109</f>
        <v>0.11596798177924938</v>
      </c>
      <c r="O109" s="1">
        <f ca="1">+C$11+C$12*F109</f>
        <v>0.11692662493935121</v>
      </c>
      <c r="Q109" s="72">
        <f>+C109-15018.5</f>
        <v>41292.229599999999</v>
      </c>
    </row>
    <row r="110" spans="1:21" x14ac:dyDescent="0.2">
      <c r="A110" s="67" t="s">
        <v>396</v>
      </c>
      <c r="B110" s="68" t="s">
        <v>36</v>
      </c>
      <c r="C110" s="69">
        <v>57645.531649999786</v>
      </c>
      <c r="D110" s="69">
        <v>2.9999999999999997E-4</v>
      </c>
      <c r="E110" s="1">
        <f>+(C110-C$7)/C$8</f>
        <v>44744.691207643664</v>
      </c>
      <c r="F110" s="1">
        <f>ROUND(2*E110,0)/2</f>
        <v>44744.5</v>
      </c>
      <c r="G110" s="1">
        <f>+C110-(C$7+F110*C$8)</f>
        <v>0.12925895841908641</v>
      </c>
      <c r="K110" s="1">
        <f>G110</f>
        <v>0.12925895841908641</v>
      </c>
      <c r="O110" s="1">
        <f ca="1">+C$11+C$12*F110</f>
        <v>0.13009144024258765</v>
      </c>
      <c r="Q110" s="72">
        <f>+C110-15018.5</f>
        <v>42627.031649999786</v>
      </c>
    </row>
    <row r="111" spans="1:21" x14ac:dyDescent="0.2">
      <c r="A111" s="4" t="s">
        <v>394</v>
      </c>
      <c r="B111" s="8"/>
      <c r="C111" s="20">
        <v>58111.648000000001</v>
      </c>
      <c r="D111" s="20">
        <v>2.0000000000000001E-4</v>
      </c>
      <c r="E111" s="1">
        <f>+(C111-C$7)/C$8</f>
        <v>45434.198612357628</v>
      </c>
      <c r="F111" s="1">
        <f>ROUND(2*E111,0)/2</f>
        <v>45434</v>
      </c>
      <c r="G111" s="1">
        <f>+C111-(C$7+F111*C$8)</f>
        <v>0.13426464541407768</v>
      </c>
      <c r="K111" s="1">
        <f>G111</f>
        <v>0.13426464541407768</v>
      </c>
      <c r="O111" s="1">
        <f ca="1">+C$11+C$12*F111</f>
        <v>0.13468862441659704</v>
      </c>
      <c r="Q111" s="72">
        <f>+C111-15018.5</f>
        <v>43093.148000000001</v>
      </c>
    </row>
    <row r="112" spans="1:21" x14ac:dyDescent="0.2">
      <c r="A112" s="4" t="s">
        <v>395</v>
      </c>
      <c r="B112" s="8"/>
      <c r="C112" s="20">
        <v>58814.710099999997</v>
      </c>
      <c r="D112" s="20">
        <v>5.0000000000000001E-4</v>
      </c>
      <c r="E112" s="1">
        <f>+(C112-C$7)/C$8</f>
        <v>46474.210454730295</v>
      </c>
      <c r="F112" s="1">
        <f>ROUND(2*E112,0)/2</f>
        <v>46474</v>
      </c>
      <c r="G112" s="1">
        <f>+C112-(C$7+F112*C$8)</f>
        <v>0.14227024982392322</v>
      </c>
      <c r="K112" s="1">
        <f>G112</f>
        <v>0.14227024982392322</v>
      </c>
      <c r="O112" s="1">
        <f ca="1">+C$11+C$12*F112</f>
        <v>0.141622738326633</v>
      </c>
      <c r="Q112" s="72">
        <f>+C112-15018.5</f>
        <v>43796.210099999997</v>
      </c>
    </row>
    <row r="113" spans="1:17" x14ac:dyDescent="0.2">
      <c r="A113" s="73" t="s">
        <v>399</v>
      </c>
      <c r="B113" s="74" t="s">
        <v>35</v>
      </c>
      <c r="C113" s="75">
        <v>59556.304199999999</v>
      </c>
      <c r="D113" s="73">
        <v>1.9E-3</v>
      </c>
      <c r="E113" s="1">
        <f>+(C113-C$7)/C$8</f>
        <v>47571.221154402068</v>
      </c>
      <c r="F113" s="1">
        <f>ROUND(2*E113,0)/2</f>
        <v>47571</v>
      </c>
      <c r="G113" s="1">
        <f>+C113-(C$7+F113*C$8)</f>
        <v>0.14950337295158533</v>
      </c>
      <c r="K113" s="1">
        <f>G113</f>
        <v>0.14950337295158533</v>
      </c>
      <c r="O113" s="1">
        <f ca="1">+C$11+C$12*F113</f>
        <v>0.14893689501827664</v>
      </c>
      <c r="Q113" s="72">
        <f>+C113-15018.5</f>
        <v>44537.804199999999</v>
      </c>
    </row>
  </sheetData>
  <sheetProtection selectLockedCells="1" selectUnlockedCells="1"/>
  <sortState xmlns:xlrd2="http://schemas.microsoft.com/office/spreadsheetml/2017/richdata2" ref="A21:V113">
    <sortCondition ref="C21:C113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C1" sqref="C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9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2" t="s">
        <v>0</v>
      </c>
      <c r="C1" s="3" t="s">
        <v>1</v>
      </c>
    </row>
    <row r="2" spans="1:4" x14ac:dyDescent="0.2">
      <c r="A2" s="1" t="s">
        <v>2</v>
      </c>
    </row>
    <row r="4" spans="1:4" x14ac:dyDescent="0.2">
      <c r="A4" s="4" t="s">
        <v>3</v>
      </c>
      <c r="C4" s="5">
        <v>27397.513999999999</v>
      </c>
      <c r="D4" s="6">
        <v>0.67603690000000005</v>
      </c>
    </row>
    <row r="6" spans="1:4" x14ac:dyDescent="0.2">
      <c r="A6" s="4" t="s">
        <v>4</v>
      </c>
    </row>
    <row r="7" spans="1:4" x14ac:dyDescent="0.2">
      <c r="A7" s="1" t="s">
        <v>5</v>
      </c>
      <c r="C7" s="1">
        <f>+C4</f>
        <v>27397.513999999999</v>
      </c>
    </row>
    <row r="8" spans="1:4" x14ac:dyDescent="0.2">
      <c r="A8" s="1" t="s">
        <v>6</v>
      </c>
      <c r="C8" s="1">
        <f>+D4</f>
        <v>0.67603690000000005</v>
      </c>
    </row>
    <row r="10" spans="1:4" x14ac:dyDescent="0.2">
      <c r="C10" s="7" t="s">
        <v>7</v>
      </c>
      <c r="D10" s="7" t="s">
        <v>8</v>
      </c>
    </row>
    <row r="11" spans="1:4" x14ac:dyDescent="0.2">
      <c r="A11" s="1" t="s">
        <v>9</v>
      </c>
      <c r="C11" s="1">
        <f>INTERCEPT(G21:G93,F21:F93)</f>
        <v>0.41008447477178023</v>
      </c>
      <c r="D11" s="8"/>
    </row>
    <row r="12" spans="1:4" x14ac:dyDescent="0.2">
      <c r="A12" s="1" t="s">
        <v>10</v>
      </c>
      <c r="C12" s="1">
        <f>SLOPE(G21:G93,F21:F93)</f>
        <v>-2.3347696557891223E-5</v>
      </c>
      <c r="D12" s="8"/>
    </row>
    <row r="13" spans="1:4" x14ac:dyDescent="0.2">
      <c r="A13" s="1" t="s">
        <v>11</v>
      </c>
      <c r="C13" s="8" t="s">
        <v>12</v>
      </c>
      <c r="D13" s="8"/>
    </row>
    <row r="14" spans="1:4" x14ac:dyDescent="0.2">
      <c r="A14" s="1" t="s">
        <v>13</v>
      </c>
    </row>
    <row r="15" spans="1:4" x14ac:dyDescent="0.2">
      <c r="A15" s="4" t="s">
        <v>14</v>
      </c>
      <c r="C15" s="1">
        <v>53439.672500000001</v>
      </c>
    </row>
    <row r="16" spans="1:4" x14ac:dyDescent="0.2">
      <c r="A16" s="4" t="s">
        <v>15</v>
      </c>
      <c r="C16" s="1">
        <f>+C8+C12</f>
        <v>0.67601355230344218</v>
      </c>
    </row>
    <row r="18" spans="1:17" x14ac:dyDescent="0.2">
      <c r="A18" s="4" t="s">
        <v>16</v>
      </c>
      <c r="C18" s="5">
        <f>+C15</f>
        <v>53439.672500000001</v>
      </c>
      <c r="D18" s="6">
        <f>+C16</f>
        <v>0.67601355230344218</v>
      </c>
    </row>
    <row r="20" spans="1:17" x14ac:dyDescent="0.2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</row>
    <row r="21" spans="1:17" x14ac:dyDescent="0.2">
      <c r="A21" s="1" t="s">
        <v>24</v>
      </c>
      <c r="C21" s="1">
        <v>27397.513999999999</v>
      </c>
      <c r="D21" s="8" t="s">
        <v>12</v>
      </c>
      <c r="E21" s="1">
        <f t="shared" ref="E21:E29" si="0">+(C21-C$7)/C$8</f>
        <v>0</v>
      </c>
      <c r="F21" s="1">
        <f>ROUND(2*E21,0)/2</f>
        <v>0</v>
      </c>
      <c r="H21" s="10">
        <v>0</v>
      </c>
      <c r="O21" s="1">
        <f t="shared" ref="O21:O29" si="1">+C$11+C$12*F21</f>
        <v>0.41008447477178023</v>
      </c>
      <c r="Q21" s="11">
        <f t="shared" ref="Q21:Q29" si="2">+C21-15018.5</f>
        <v>12379.013999999999</v>
      </c>
    </row>
    <row r="22" spans="1:17" x14ac:dyDescent="0.2">
      <c r="A22" s="12" t="s">
        <v>34</v>
      </c>
      <c r="B22" s="13" t="s">
        <v>35</v>
      </c>
      <c r="C22" s="14">
        <v>39125.411</v>
      </c>
      <c r="D22" s="8"/>
      <c r="E22" s="1">
        <f t="shared" si="0"/>
        <v>17348.013104018435</v>
      </c>
      <c r="F22" s="1">
        <f>ROUND(2*E22,0)/2</f>
        <v>17348</v>
      </c>
      <c r="G22" s="1">
        <f t="shared" ref="G22:G29" si="3">+C22-(C$7+F22*C$8)</f>
        <v>8.8587999998708256E-3</v>
      </c>
      <c r="I22" s="1">
        <f t="shared" ref="I22:I28" si="4">G22</f>
        <v>8.8587999998708256E-3</v>
      </c>
      <c r="O22" s="1">
        <f t="shared" si="1"/>
        <v>5.0486348854832941E-3</v>
      </c>
      <c r="Q22" s="11">
        <f t="shared" si="2"/>
        <v>24106.911</v>
      </c>
    </row>
    <row r="23" spans="1:17" x14ac:dyDescent="0.2">
      <c r="A23" s="12" t="s">
        <v>34</v>
      </c>
      <c r="B23" s="13" t="s">
        <v>36</v>
      </c>
      <c r="C23" s="14">
        <v>39125.743999999999</v>
      </c>
      <c r="D23" s="8"/>
      <c r="E23" s="1">
        <f t="shared" si="0"/>
        <v>17348.505680681039</v>
      </c>
      <c r="F23" s="1">
        <f>ROUND(2*E23,0)/2</f>
        <v>17348.5</v>
      </c>
      <c r="G23" s="1">
        <f t="shared" si="3"/>
        <v>3.8403500002459623E-3</v>
      </c>
      <c r="I23" s="1">
        <f t="shared" si="4"/>
        <v>3.8403500002459623E-3</v>
      </c>
      <c r="O23" s="1">
        <f t="shared" si="1"/>
        <v>5.0369610372043572E-3</v>
      </c>
      <c r="Q23" s="11">
        <f t="shared" si="2"/>
        <v>24107.243999999999</v>
      </c>
    </row>
    <row r="24" spans="1:17" x14ac:dyDescent="0.2">
      <c r="A24" s="15" t="s">
        <v>37</v>
      </c>
      <c r="C24" s="16">
        <v>50540.578999999998</v>
      </c>
      <c r="D24" s="16">
        <v>2E-3</v>
      </c>
      <c r="E24" s="1">
        <f t="shared" si="0"/>
        <v>34233.43459506426</v>
      </c>
      <c r="F24" s="10">
        <f t="shared" ref="F24:F29" si="5">ROUND(2*E24,0)/2+0.5</f>
        <v>34234</v>
      </c>
      <c r="G24" s="1">
        <f t="shared" si="3"/>
        <v>-0.38223460000153864</v>
      </c>
      <c r="I24" s="1">
        <f t="shared" si="4"/>
        <v>-0.38223460000153864</v>
      </c>
      <c r="O24" s="1">
        <f t="shared" si="1"/>
        <v>-0.38920056919106794</v>
      </c>
      <c r="Q24" s="11">
        <f t="shared" si="2"/>
        <v>35522.078999999998</v>
      </c>
    </row>
    <row r="25" spans="1:17" x14ac:dyDescent="0.2">
      <c r="A25" s="17" t="s">
        <v>37</v>
      </c>
      <c r="B25" s="18"/>
      <c r="C25" s="14" t="s">
        <v>38</v>
      </c>
      <c r="D25" s="8"/>
      <c r="E25" s="1">
        <f t="shared" si="0"/>
        <v>35281.867010513772</v>
      </c>
      <c r="F25" s="10">
        <f t="shared" si="5"/>
        <v>35282.5</v>
      </c>
      <c r="G25" s="1">
        <f t="shared" si="3"/>
        <v>-0.42792424999788636</v>
      </c>
      <c r="I25" s="1">
        <f t="shared" si="4"/>
        <v>-0.42792424999788636</v>
      </c>
      <c r="O25" s="1">
        <f t="shared" si="1"/>
        <v>-0.41368062903201686</v>
      </c>
      <c r="Q25" s="11">
        <f t="shared" si="2"/>
        <v>36230.858</v>
      </c>
    </row>
    <row r="26" spans="1:17" x14ac:dyDescent="0.2">
      <c r="A26" s="15" t="s">
        <v>39</v>
      </c>
      <c r="C26" s="16">
        <v>51470.416899999997</v>
      </c>
      <c r="D26" s="16">
        <v>7.0000000000000001E-3</v>
      </c>
      <c r="E26" s="1">
        <f t="shared" si="0"/>
        <v>35608.859368475292</v>
      </c>
      <c r="F26" s="10">
        <f t="shared" si="5"/>
        <v>35609.5</v>
      </c>
      <c r="G26" s="1">
        <f t="shared" si="3"/>
        <v>-0.4330905500028166</v>
      </c>
      <c r="I26" s="1">
        <f t="shared" si="4"/>
        <v>-0.4330905500028166</v>
      </c>
      <c r="O26" s="1">
        <f t="shared" si="1"/>
        <v>-0.42131532580644726</v>
      </c>
      <c r="Q26" s="11">
        <f t="shared" si="2"/>
        <v>36451.916899999997</v>
      </c>
    </row>
    <row r="27" spans="1:17" x14ac:dyDescent="0.2">
      <c r="A27" s="17" t="s">
        <v>40</v>
      </c>
      <c r="B27" s="18"/>
      <c r="C27" s="19">
        <v>51923.353499999997</v>
      </c>
      <c r="D27" s="8"/>
      <c r="E27" s="1">
        <f t="shared" si="0"/>
        <v>36278.847352858989</v>
      </c>
      <c r="F27" s="10">
        <f t="shared" si="5"/>
        <v>36279.5</v>
      </c>
      <c r="G27" s="1">
        <f t="shared" si="3"/>
        <v>-0.44121355000243057</v>
      </c>
      <c r="I27" s="1">
        <f t="shared" si="4"/>
        <v>-0.44121355000243057</v>
      </c>
      <c r="O27" s="1">
        <f t="shared" si="1"/>
        <v>-0.43695828250023439</v>
      </c>
      <c r="Q27" s="11">
        <f t="shared" si="2"/>
        <v>36904.853499999997</v>
      </c>
    </row>
    <row r="28" spans="1:17" x14ac:dyDescent="0.2">
      <c r="A28" s="1" t="s">
        <v>41</v>
      </c>
      <c r="C28" s="16">
        <v>52696.383600000001</v>
      </c>
      <c r="D28" s="16">
        <v>5.9999999999999995E-4</v>
      </c>
      <c r="E28" s="1">
        <f t="shared" si="0"/>
        <v>37422.320586346694</v>
      </c>
      <c r="F28" s="10">
        <f t="shared" si="5"/>
        <v>37423</v>
      </c>
      <c r="G28" s="1">
        <f t="shared" si="3"/>
        <v>-0.45930869999574497</v>
      </c>
      <c r="I28" s="1">
        <f t="shared" si="4"/>
        <v>-0.45930869999574497</v>
      </c>
      <c r="O28" s="1">
        <f t="shared" si="1"/>
        <v>-0.46365637351418298</v>
      </c>
      <c r="Q28" s="11">
        <f t="shared" si="2"/>
        <v>37677.883600000001</v>
      </c>
    </row>
    <row r="29" spans="1:17" x14ac:dyDescent="0.2">
      <c r="A29" s="4" t="s">
        <v>42</v>
      </c>
      <c r="C29" s="1">
        <v>53439.672500000001</v>
      </c>
      <c r="D29" s="8">
        <v>2.0000000000000001E-4</v>
      </c>
      <c r="E29" s="1">
        <f t="shared" si="0"/>
        <v>38521.800363264192</v>
      </c>
      <c r="F29" s="10">
        <f t="shared" si="5"/>
        <v>38522.5</v>
      </c>
      <c r="G29" s="1">
        <f t="shared" si="3"/>
        <v>-0.47298025000054622</v>
      </c>
      <c r="J29" s="1">
        <f>G29</f>
        <v>-0.47298025000054622</v>
      </c>
      <c r="O29" s="1">
        <f t="shared" si="1"/>
        <v>-0.48932716587958436</v>
      </c>
      <c r="Q29" s="11">
        <f t="shared" si="2"/>
        <v>38421.172500000001</v>
      </c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29" sqref="A29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9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2" t="s">
        <v>0</v>
      </c>
      <c r="C1" s="3" t="s">
        <v>43</v>
      </c>
    </row>
    <row r="2" spans="1:4" x14ac:dyDescent="0.2">
      <c r="A2" s="1" t="s">
        <v>2</v>
      </c>
      <c r="C2" s="3" t="s">
        <v>44</v>
      </c>
    </row>
    <row r="4" spans="1:4" x14ac:dyDescent="0.2">
      <c r="A4" s="4" t="s">
        <v>3</v>
      </c>
      <c r="C4" s="5">
        <v>27397.513999999999</v>
      </c>
      <c r="D4" s="6">
        <v>0.67603690000000005</v>
      </c>
    </row>
    <row r="6" spans="1:4" x14ac:dyDescent="0.2">
      <c r="A6" s="4" t="s">
        <v>4</v>
      </c>
    </row>
    <row r="7" spans="1:4" x14ac:dyDescent="0.2">
      <c r="A7" s="1" t="s">
        <v>5</v>
      </c>
      <c r="C7" s="1">
        <f>+C4</f>
        <v>27397.513999999999</v>
      </c>
    </row>
    <row r="8" spans="1:4" x14ac:dyDescent="0.2">
      <c r="A8" s="1" t="s">
        <v>6</v>
      </c>
      <c r="C8" s="1">
        <v>0.67601355230344218</v>
      </c>
    </row>
    <row r="10" spans="1:4" x14ac:dyDescent="0.2">
      <c r="C10" s="7" t="s">
        <v>7</v>
      </c>
      <c r="D10" s="7" t="s">
        <v>8</v>
      </c>
    </row>
    <row r="11" spans="1:4" x14ac:dyDescent="0.2">
      <c r="A11" s="1" t="s">
        <v>9</v>
      </c>
      <c r="C11" s="1">
        <f>INTERCEPT(G25:G93,F25:F93)</f>
        <v>-0.25877692214306863</v>
      </c>
      <c r="D11" s="8"/>
    </row>
    <row r="12" spans="1:4" x14ac:dyDescent="0.2">
      <c r="A12" s="1" t="s">
        <v>10</v>
      </c>
      <c r="C12" s="1">
        <f>SLOPE(G25:G93,F25:F93)</f>
        <v>8.9765878716966349E-6</v>
      </c>
      <c r="D12" s="8"/>
    </row>
    <row r="13" spans="1:4" x14ac:dyDescent="0.2">
      <c r="A13" s="1" t="s">
        <v>11</v>
      </c>
      <c r="C13" s="8" t="s">
        <v>12</v>
      </c>
      <c r="D13" s="8"/>
    </row>
    <row r="14" spans="1:4" x14ac:dyDescent="0.2">
      <c r="A14" s="1" t="s">
        <v>13</v>
      </c>
    </row>
    <row r="15" spans="1:4" x14ac:dyDescent="0.2">
      <c r="A15" s="4" t="s">
        <v>14</v>
      </c>
      <c r="C15" s="1">
        <v>53439.672500000001</v>
      </c>
    </row>
    <row r="16" spans="1:4" x14ac:dyDescent="0.2">
      <c r="A16" s="4" t="s">
        <v>15</v>
      </c>
      <c r="C16" s="1">
        <f>+C8+C12</f>
        <v>0.67602252889131387</v>
      </c>
    </row>
    <row r="18" spans="1:17" x14ac:dyDescent="0.2">
      <c r="A18" s="4" t="s">
        <v>16</v>
      </c>
      <c r="C18" s="5">
        <f>+C15</f>
        <v>53439.672500000001</v>
      </c>
      <c r="D18" s="6">
        <f>+C16</f>
        <v>0.67602252889131387</v>
      </c>
    </row>
    <row r="20" spans="1:17" x14ac:dyDescent="0.2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</row>
    <row r="21" spans="1:17" x14ac:dyDescent="0.2">
      <c r="A21" s="1" t="s">
        <v>24</v>
      </c>
      <c r="C21" s="1">
        <v>27397.513999999999</v>
      </c>
      <c r="D21" s="8" t="s">
        <v>12</v>
      </c>
      <c r="E21" s="1">
        <f t="shared" ref="E21:E30" si="0">+(C21-C$7)/C$8</f>
        <v>0</v>
      </c>
      <c r="F21" s="1">
        <f>ROUND(2*E21,0)/2</f>
        <v>0</v>
      </c>
      <c r="H21" s="10">
        <v>0</v>
      </c>
      <c r="Q21" s="11">
        <f t="shared" ref="Q21:Q30" si="1">+C21-15018.5</f>
        <v>12379.013999999999</v>
      </c>
    </row>
    <row r="22" spans="1:17" x14ac:dyDescent="0.2">
      <c r="A22" s="12" t="s">
        <v>34</v>
      </c>
      <c r="B22" s="13" t="s">
        <v>35</v>
      </c>
      <c r="C22" s="14">
        <v>39125.411</v>
      </c>
      <c r="D22" s="8"/>
      <c r="E22" s="1">
        <f t="shared" si="0"/>
        <v>17348.612257902929</v>
      </c>
      <c r="F22" s="1">
        <f t="shared" ref="F22:F30" si="2">ROUND(2*E22,0)/2</f>
        <v>17348.5</v>
      </c>
      <c r="G22" s="1">
        <f t="shared" ref="G22:G30" si="3">+C22-(C$7+F22*C$8)</f>
        <v>7.5887863735260908E-2</v>
      </c>
      <c r="I22" s="1">
        <f t="shared" ref="I22:I28" si="4">G22</f>
        <v>7.5887863735260908E-2</v>
      </c>
      <c r="Q22" s="11">
        <f t="shared" si="1"/>
        <v>24106.911</v>
      </c>
    </row>
    <row r="23" spans="1:17" x14ac:dyDescent="0.2">
      <c r="A23" s="12" t="s">
        <v>34</v>
      </c>
      <c r="B23" s="13" t="s">
        <v>36</v>
      </c>
      <c r="C23" s="14">
        <v>39125.743999999999</v>
      </c>
      <c r="D23" s="8"/>
      <c r="E23" s="1">
        <f t="shared" si="0"/>
        <v>17349.104851577813</v>
      </c>
      <c r="F23" s="1">
        <f t="shared" si="2"/>
        <v>17349</v>
      </c>
      <c r="G23" s="1">
        <f t="shared" si="3"/>
        <v>7.0881087580346502E-2</v>
      </c>
      <c r="I23" s="1">
        <f t="shared" si="4"/>
        <v>7.0881087580346502E-2</v>
      </c>
      <c r="Q23" s="11">
        <f t="shared" si="1"/>
        <v>24107.243999999999</v>
      </c>
    </row>
    <row r="24" spans="1:17" x14ac:dyDescent="0.2">
      <c r="A24" s="15" t="s">
        <v>37</v>
      </c>
      <c r="C24" s="16">
        <v>50540.578999999998</v>
      </c>
      <c r="D24" s="16">
        <v>2E-3</v>
      </c>
      <c r="E24" s="1">
        <f t="shared" si="0"/>
        <v>34234.61692615856</v>
      </c>
      <c r="F24" s="1">
        <f t="shared" si="2"/>
        <v>34234.5</v>
      </c>
      <c r="G24" s="1">
        <f t="shared" si="3"/>
        <v>7.9043667807127349E-2</v>
      </c>
      <c r="I24" s="1">
        <f t="shared" si="4"/>
        <v>7.9043667807127349E-2</v>
      </c>
      <c r="O24" s="1">
        <f t="shared" ref="O24:O30" si="5">+C$11+C$12*F24</f>
        <v>4.8532075350529835E-2</v>
      </c>
      <c r="Q24" s="11">
        <f t="shared" si="1"/>
        <v>35522.078999999998</v>
      </c>
    </row>
    <row r="25" spans="1:17" x14ac:dyDescent="0.2">
      <c r="A25" s="17" t="s">
        <v>37</v>
      </c>
      <c r="B25" s="18"/>
      <c r="C25" s="14" t="s">
        <v>38</v>
      </c>
      <c r="D25" s="8"/>
      <c r="E25" s="1">
        <f t="shared" si="0"/>
        <v>35283.085551654185</v>
      </c>
      <c r="F25" s="1">
        <f t="shared" si="2"/>
        <v>35283</v>
      </c>
      <c r="G25" s="1">
        <f t="shared" si="3"/>
        <v>5.7834077648294624E-2</v>
      </c>
      <c r="I25" s="1">
        <f t="shared" si="4"/>
        <v>5.7834077648294624E-2</v>
      </c>
      <c r="O25" s="1">
        <f t="shared" si="5"/>
        <v>5.7944027734003756E-2</v>
      </c>
      <c r="Q25" s="11">
        <f t="shared" si="1"/>
        <v>36230.858</v>
      </c>
    </row>
    <row r="26" spans="1:17" x14ac:dyDescent="0.2">
      <c r="A26" s="15" t="s">
        <v>39</v>
      </c>
      <c r="C26" s="16">
        <v>51470.416899999997</v>
      </c>
      <c r="D26" s="16">
        <v>7.0000000000000001E-3</v>
      </c>
      <c r="E26" s="1">
        <f t="shared" si="0"/>
        <v>35610.089203055497</v>
      </c>
      <c r="F26" s="1">
        <f t="shared" si="2"/>
        <v>35610</v>
      </c>
      <c r="G26" s="1">
        <f t="shared" si="3"/>
        <v>6.030247441958636E-2</v>
      </c>
      <c r="I26" s="1">
        <f t="shared" si="4"/>
        <v>6.030247441958636E-2</v>
      </c>
      <c r="O26" s="1">
        <f t="shared" si="5"/>
        <v>6.0879371968048546E-2</v>
      </c>
      <c r="Q26" s="11">
        <f t="shared" si="1"/>
        <v>36451.916899999997</v>
      </c>
    </row>
    <row r="27" spans="1:17" x14ac:dyDescent="0.2">
      <c r="A27" s="17" t="s">
        <v>40</v>
      </c>
      <c r="B27" s="18"/>
      <c r="C27" s="19">
        <v>51923.353499999997</v>
      </c>
      <c r="D27" s="8"/>
      <c r="E27" s="1">
        <f t="shared" si="0"/>
        <v>36280.100327028777</v>
      </c>
      <c r="F27" s="1">
        <f t="shared" si="2"/>
        <v>36280</v>
      </c>
      <c r="G27" s="1">
        <f t="shared" si="3"/>
        <v>6.782243111229036E-2</v>
      </c>
      <c r="I27" s="1">
        <f t="shared" si="4"/>
        <v>6.782243111229036E-2</v>
      </c>
      <c r="O27" s="1">
        <f t="shared" si="5"/>
        <v>6.6893685842085271E-2</v>
      </c>
      <c r="Q27" s="11">
        <f t="shared" si="1"/>
        <v>36904.853499999997</v>
      </c>
    </row>
    <row r="28" spans="1:17" x14ac:dyDescent="0.2">
      <c r="A28" s="1" t="s">
        <v>41</v>
      </c>
      <c r="C28" s="16">
        <v>52696.383600000001</v>
      </c>
      <c r="D28" s="16">
        <v>5.9999999999999995E-4</v>
      </c>
      <c r="E28" s="1">
        <f t="shared" si="0"/>
        <v>37423.613053017762</v>
      </c>
      <c r="F28" s="1">
        <f t="shared" si="2"/>
        <v>37423.5</v>
      </c>
      <c r="G28" s="1">
        <f t="shared" si="3"/>
        <v>7.6425372128142044E-2</v>
      </c>
      <c r="I28" s="1">
        <f t="shared" si="4"/>
        <v>7.6425372128142044E-2</v>
      </c>
      <c r="O28" s="1">
        <f t="shared" si="5"/>
        <v>7.7158414073370374E-2</v>
      </c>
      <c r="Q28" s="11">
        <f t="shared" si="1"/>
        <v>37677.883600000001</v>
      </c>
    </row>
    <row r="29" spans="1:17" x14ac:dyDescent="0.2">
      <c r="A29" s="4" t="s">
        <v>45</v>
      </c>
      <c r="C29" s="1">
        <v>53439.672500000001</v>
      </c>
      <c r="D29" s="8">
        <v>2.0000000000000001E-4</v>
      </c>
      <c r="E29" s="1">
        <f t="shared" si="0"/>
        <v>38523.130803020438</v>
      </c>
      <c r="F29" s="1">
        <f t="shared" si="2"/>
        <v>38523</v>
      </c>
      <c r="G29" s="1">
        <f t="shared" si="3"/>
        <v>8.8424614499672316E-2</v>
      </c>
      <c r="J29" s="1">
        <f>G29</f>
        <v>8.8424614499672316E-2</v>
      </c>
      <c r="O29" s="1">
        <f t="shared" si="5"/>
        <v>8.7028172438300855E-2</v>
      </c>
      <c r="Q29" s="11">
        <f t="shared" si="1"/>
        <v>38421.172500000001</v>
      </c>
    </row>
    <row r="30" spans="1:17" x14ac:dyDescent="0.2">
      <c r="A30" s="4" t="s">
        <v>46</v>
      </c>
      <c r="B30" s="18"/>
      <c r="C30" s="19">
        <v>54006.8531</v>
      </c>
      <c r="D30" s="8">
        <v>2.0000000000000001E-4</v>
      </c>
      <c r="E30" s="1">
        <f t="shared" si="0"/>
        <v>39362.138538985782</v>
      </c>
      <c r="F30" s="1">
        <f t="shared" si="2"/>
        <v>39362</v>
      </c>
      <c r="G30" s="1">
        <f t="shared" si="3"/>
        <v>9.3654231910477392E-2</v>
      </c>
      <c r="J30" s="1">
        <f>G30</f>
        <v>9.3654231910477392E-2</v>
      </c>
      <c r="O30" s="1">
        <f t="shared" si="5"/>
        <v>9.4559529662654296E-2</v>
      </c>
      <c r="Q30" s="11">
        <f t="shared" si="1"/>
        <v>38988.3531</v>
      </c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opLeftCell="A45" workbookViewId="0">
      <selection activeCell="A37" sqref="A37"/>
    </sheetView>
  </sheetViews>
  <sheetFormatPr defaultRowHeight="12.75" x14ac:dyDescent="0.2"/>
  <cols>
    <col min="1" max="1" width="19.7109375" style="20" customWidth="1"/>
    <col min="2" max="2" width="4.42578125" customWidth="1"/>
    <col min="3" max="3" width="12.7109375" style="20" customWidth="1"/>
    <col min="4" max="4" width="5.42578125" customWidth="1"/>
    <col min="5" max="5" width="14.85546875" customWidth="1"/>
    <col min="7" max="7" width="12" customWidth="1"/>
    <col min="8" max="8" width="14.140625" style="2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21" t="s">
        <v>47</v>
      </c>
      <c r="I1" s="22" t="s">
        <v>48</v>
      </c>
      <c r="J1" s="23" t="s">
        <v>49</v>
      </c>
    </row>
    <row r="2" spans="1:16" x14ac:dyDescent="0.2">
      <c r="I2" s="24" t="s">
        <v>50</v>
      </c>
      <c r="J2" s="25" t="s">
        <v>51</v>
      </c>
    </row>
    <row r="3" spans="1:16" x14ac:dyDescent="0.2">
      <c r="A3" s="26" t="s">
        <v>52</v>
      </c>
      <c r="I3" s="24" t="s">
        <v>53</v>
      </c>
      <c r="J3" s="25" t="s">
        <v>54</v>
      </c>
    </row>
    <row r="4" spans="1:16" x14ac:dyDescent="0.2">
      <c r="I4" s="24" t="s">
        <v>55</v>
      </c>
      <c r="J4" s="25" t="s">
        <v>54</v>
      </c>
    </row>
    <row r="5" spans="1:16" x14ac:dyDescent="0.2">
      <c r="I5" s="27" t="s">
        <v>56</v>
      </c>
      <c r="J5" s="28" t="s">
        <v>57</v>
      </c>
    </row>
    <row r="11" spans="1:16" ht="12.75" customHeight="1" x14ac:dyDescent="0.2">
      <c r="A11" s="20" t="str">
        <f t="shared" ref="A11:A42" si="0">P11</f>
        <v>IBVS 180 </v>
      </c>
      <c r="B11" s="8" t="str">
        <f t="shared" ref="B11:B42" si="1">IF(H11=INT(H11),"I","II")</f>
        <v>I</v>
      </c>
      <c r="C11" s="20">
        <f t="shared" ref="C11:C42" si="2">1*G11</f>
        <v>39125.411</v>
      </c>
      <c r="D11" t="str">
        <f t="shared" ref="D11:D42" si="3">VLOOKUP(F11,I$1:J$5,2,FALSE)</f>
        <v>vis</v>
      </c>
      <c r="E11">
        <f>VLOOKUP(C11,Active!C$21:E$973,3,FALSE)</f>
        <v>17348.612257902929</v>
      </c>
      <c r="F11" s="8" t="s">
        <v>56</v>
      </c>
      <c r="G11" t="str">
        <f t="shared" ref="G11:G42" si="4">MID(I11,3,LEN(I11)-3)</f>
        <v>39125.411</v>
      </c>
      <c r="H11" s="20">
        <f t="shared" ref="H11:H42" si="5">1*K11</f>
        <v>17348</v>
      </c>
      <c r="I11" s="29" t="s">
        <v>58</v>
      </c>
      <c r="J11" s="30" t="s">
        <v>59</v>
      </c>
      <c r="K11" s="29">
        <v>17348</v>
      </c>
      <c r="L11" s="29" t="s">
        <v>60</v>
      </c>
      <c r="M11" s="30" t="s">
        <v>61</v>
      </c>
      <c r="N11" s="30"/>
      <c r="O11" s="31" t="s">
        <v>62</v>
      </c>
      <c r="P11" s="32" t="s">
        <v>63</v>
      </c>
    </row>
    <row r="12" spans="1:16" ht="12.75" customHeight="1" x14ac:dyDescent="0.2">
      <c r="A12" s="20" t="str">
        <f t="shared" si="0"/>
        <v>IBVS 180 </v>
      </c>
      <c r="B12" s="8" t="str">
        <f t="shared" si="1"/>
        <v>II</v>
      </c>
      <c r="C12" s="20">
        <f t="shared" si="2"/>
        <v>39125.743999999999</v>
      </c>
      <c r="D12" t="str">
        <f t="shared" si="3"/>
        <v>vis</v>
      </c>
      <c r="E12">
        <f>VLOOKUP(C12,Active!C$21:E$973,3,FALSE)</f>
        <v>17349.104851577813</v>
      </c>
      <c r="F12" s="8" t="s">
        <v>56</v>
      </c>
      <c r="G12" t="str">
        <f t="shared" si="4"/>
        <v>39125.744</v>
      </c>
      <c r="H12" s="20">
        <f t="shared" si="5"/>
        <v>17348.5</v>
      </c>
      <c r="I12" s="29" t="s">
        <v>64</v>
      </c>
      <c r="J12" s="30" t="s">
        <v>65</v>
      </c>
      <c r="K12" s="29">
        <v>17348.5</v>
      </c>
      <c r="L12" s="29" t="s">
        <v>66</v>
      </c>
      <c r="M12" s="30" t="s">
        <v>61</v>
      </c>
      <c r="N12" s="30"/>
      <c r="O12" s="31" t="s">
        <v>62</v>
      </c>
      <c r="P12" s="32" t="s">
        <v>63</v>
      </c>
    </row>
    <row r="13" spans="1:16" ht="12.75" customHeight="1" x14ac:dyDescent="0.2">
      <c r="A13" s="20" t="str">
        <f t="shared" si="0"/>
        <v>BAVM 133 </v>
      </c>
      <c r="B13" s="8" t="str">
        <f t="shared" si="1"/>
        <v>I</v>
      </c>
      <c r="C13" s="20">
        <f t="shared" si="2"/>
        <v>51470.416899999997</v>
      </c>
      <c r="D13" t="str">
        <f t="shared" si="3"/>
        <v>vis</v>
      </c>
      <c r="E13">
        <f>VLOOKUP(C13,Active!C$21:E$973,3,FALSE)</f>
        <v>35610.089203055497</v>
      </c>
      <c r="F13" s="8" t="s">
        <v>56</v>
      </c>
      <c r="G13" t="str">
        <f t="shared" si="4"/>
        <v>51470.4169</v>
      </c>
      <c r="H13" s="20">
        <f t="shared" si="5"/>
        <v>35609</v>
      </c>
      <c r="I13" s="29" t="s">
        <v>67</v>
      </c>
      <c r="J13" s="30" t="s">
        <v>68</v>
      </c>
      <c r="K13" s="29">
        <v>35609</v>
      </c>
      <c r="L13" s="29" t="s">
        <v>69</v>
      </c>
      <c r="M13" s="30" t="s">
        <v>70</v>
      </c>
      <c r="N13" s="30" t="s">
        <v>71</v>
      </c>
      <c r="O13" s="31" t="s">
        <v>72</v>
      </c>
      <c r="P13" s="32" t="s">
        <v>73</v>
      </c>
    </row>
    <row r="14" spans="1:16" ht="12.75" customHeight="1" x14ac:dyDescent="0.2">
      <c r="A14" s="20" t="str">
        <f t="shared" si="0"/>
        <v>BAVM 152 </v>
      </c>
      <c r="B14" s="8" t="str">
        <f t="shared" si="1"/>
        <v>I</v>
      </c>
      <c r="C14" s="20">
        <f t="shared" si="2"/>
        <v>51923.353499999997</v>
      </c>
      <c r="D14" t="str">
        <f t="shared" si="3"/>
        <v>vis</v>
      </c>
      <c r="E14">
        <f>VLOOKUP(C14,Active!C$21:E$973,3,FALSE)</f>
        <v>36280.100327028777</v>
      </c>
      <c r="F14" s="8" t="s">
        <v>56</v>
      </c>
      <c r="G14" t="str">
        <f t="shared" si="4"/>
        <v>51923.3535</v>
      </c>
      <c r="H14" s="20">
        <f t="shared" si="5"/>
        <v>36279</v>
      </c>
      <c r="I14" s="29" t="s">
        <v>74</v>
      </c>
      <c r="J14" s="30" t="s">
        <v>75</v>
      </c>
      <c r="K14" s="29">
        <v>36279</v>
      </c>
      <c r="L14" s="29" t="s">
        <v>76</v>
      </c>
      <c r="M14" s="30" t="s">
        <v>70</v>
      </c>
      <c r="N14" s="30" t="s">
        <v>77</v>
      </c>
      <c r="O14" s="31" t="s">
        <v>78</v>
      </c>
      <c r="P14" s="32" t="s">
        <v>79</v>
      </c>
    </row>
    <row r="15" spans="1:16" ht="12.75" customHeight="1" x14ac:dyDescent="0.2">
      <c r="A15" s="20" t="str">
        <f t="shared" si="0"/>
        <v>JAAVSO 37(1);44 </v>
      </c>
      <c r="B15" s="8" t="str">
        <f t="shared" si="1"/>
        <v>I</v>
      </c>
      <c r="C15" s="20">
        <f t="shared" si="2"/>
        <v>52260.69</v>
      </c>
      <c r="D15" t="str">
        <f t="shared" si="3"/>
        <v>vis</v>
      </c>
      <c r="E15">
        <f>VLOOKUP(C15,Active!C$21:E$973,3,FALSE)</f>
        <v>36779.108814137602</v>
      </c>
      <c r="F15" s="8" t="s">
        <v>56</v>
      </c>
      <c r="G15" t="str">
        <f t="shared" si="4"/>
        <v>52260.69</v>
      </c>
      <c r="H15" s="20">
        <f t="shared" si="5"/>
        <v>36778</v>
      </c>
      <c r="I15" s="29" t="s">
        <v>80</v>
      </c>
      <c r="J15" s="30" t="s">
        <v>81</v>
      </c>
      <c r="K15" s="29">
        <v>36778</v>
      </c>
      <c r="L15" s="29" t="s">
        <v>82</v>
      </c>
      <c r="M15" s="30" t="s">
        <v>83</v>
      </c>
      <c r="N15" s="30" t="s">
        <v>84</v>
      </c>
      <c r="O15" s="31" t="s">
        <v>85</v>
      </c>
      <c r="P15" s="32" t="s">
        <v>86</v>
      </c>
    </row>
    <row r="16" spans="1:16" ht="12.75" customHeight="1" x14ac:dyDescent="0.2">
      <c r="A16" s="20" t="str">
        <f t="shared" si="0"/>
        <v> JAAVSO 41;122 </v>
      </c>
      <c r="B16" s="8" t="str">
        <f t="shared" si="1"/>
        <v>I</v>
      </c>
      <c r="C16" s="20">
        <f t="shared" si="2"/>
        <v>52325.591999999997</v>
      </c>
      <c r="D16" t="str">
        <f t="shared" si="3"/>
        <v>vis</v>
      </c>
      <c r="E16">
        <f>VLOOKUP(C16,Active!C$21:E$973,3,FALSE)</f>
        <v>36875.115765150418</v>
      </c>
      <c r="F16" s="8" t="s">
        <v>56</v>
      </c>
      <c r="G16" t="str">
        <f t="shared" si="4"/>
        <v>52325.5920</v>
      </c>
      <c r="H16" s="20">
        <f t="shared" si="5"/>
        <v>36874</v>
      </c>
      <c r="I16" s="29" t="s">
        <v>87</v>
      </c>
      <c r="J16" s="30" t="s">
        <v>88</v>
      </c>
      <c r="K16" s="29">
        <v>36874</v>
      </c>
      <c r="L16" s="29" t="s">
        <v>89</v>
      </c>
      <c r="M16" s="30" t="s">
        <v>83</v>
      </c>
      <c r="N16" s="30" t="s">
        <v>56</v>
      </c>
      <c r="O16" s="31" t="s">
        <v>85</v>
      </c>
      <c r="P16" s="31" t="s">
        <v>90</v>
      </c>
    </row>
    <row r="17" spans="1:16" ht="12.75" customHeight="1" x14ac:dyDescent="0.2">
      <c r="A17" s="20" t="str">
        <f t="shared" si="0"/>
        <v>IBVS 5486 </v>
      </c>
      <c r="B17" s="8" t="str">
        <f t="shared" si="1"/>
        <v>II</v>
      </c>
      <c r="C17" s="20">
        <f t="shared" si="2"/>
        <v>52611.199500000002</v>
      </c>
      <c r="D17" t="str">
        <f t="shared" si="3"/>
        <v>vis</v>
      </c>
      <c r="E17">
        <f>VLOOKUP(C17,Active!C$21:E$973,3,FALSE)</f>
        <v>37297.603596979869</v>
      </c>
      <c r="F17" s="8" t="s">
        <v>56</v>
      </c>
      <c r="G17" t="str">
        <f t="shared" si="4"/>
        <v>52611.1995</v>
      </c>
      <c r="H17" s="20">
        <f t="shared" si="5"/>
        <v>37296.5</v>
      </c>
      <c r="I17" s="29" t="s">
        <v>91</v>
      </c>
      <c r="J17" s="30" t="s">
        <v>92</v>
      </c>
      <c r="K17" s="29">
        <v>37296.5</v>
      </c>
      <c r="L17" s="29" t="s">
        <v>93</v>
      </c>
      <c r="M17" s="30" t="s">
        <v>70</v>
      </c>
      <c r="N17" s="30" t="s">
        <v>94</v>
      </c>
      <c r="O17" s="31" t="s">
        <v>95</v>
      </c>
      <c r="P17" s="32" t="s">
        <v>96</v>
      </c>
    </row>
    <row r="18" spans="1:16" ht="12.75" customHeight="1" x14ac:dyDescent="0.2">
      <c r="A18" s="20" t="str">
        <f t="shared" si="0"/>
        <v>IBVS 5486 </v>
      </c>
      <c r="B18" s="8" t="str">
        <f t="shared" si="1"/>
        <v>I</v>
      </c>
      <c r="C18" s="20">
        <f t="shared" si="2"/>
        <v>52612.216399999998</v>
      </c>
      <c r="D18" t="str">
        <f t="shared" si="3"/>
        <v>vis</v>
      </c>
      <c r="E18">
        <f>VLOOKUP(C18,Active!C$21:E$973,3,FALSE)</f>
        <v>37299.107856763614</v>
      </c>
      <c r="F18" s="8" t="s">
        <v>56</v>
      </c>
      <c r="G18" t="str">
        <f t="shared" si="4"/>
        <v>52612.2164</v>
      </c>
      <c r="H18" s="20">
        <f t="shared" si="5"/>
        <v>37298</v>
      </c>
      <c r="I18" s="29" t="s">
        <v>97</v>
      </c>
      <c r="J18" s="30" t="s">
        <v>98</v>
      </c>
      <c r="K18" s="29">
        <v>37298</v>
      </c>
      <c r="L18" s="29" t="s">
        <v>99</v>
      </c>
      <c r="M18" s="30" t="s">
        <v>70</v>
      </c>
      <c r="N18" s="30" t="s">
        <v>94</v>
      </c>
      <c r="O18" s="31" t="s">
        <v>95</v>
      </c>
      <c r="P18" s="32" t="s">
        <v>96</v>
      </c>
    </row>
    <row r="19" spans="1:16" ht="12.75" customHeight="1" x14ac:dyDescent="0.2">
      <c r="A19" s="20" t="str">
        <f t="shared" si="0"/>
        <v>IBVS 5486 </v>
      </c>
      <c r="B19" s="8" t="str">
        <f t="shared" si="1"/>
        <v>II</v>
      </c>
      <c r="C19" s="20">
        <f t="shared" si="2"/>
        <v>52613.224999999999</v>
      </c>
      <c r="D19" t="str">
        <f t="shared" si="3"/>
        <v>vis</v>
      </c>
      <c r="E19">
        <f>VLOOKUP(C19,Active!C$21:E$973,3,FALSE)</f>
        <v>37300.599838686998</v>
      </c>
      <c r="F19" s="8" t="s">
        <v>56</v>
      </c>
      <c r="G19" t="str">
        <f t="shared" si="4"/>
        <v>52613.2250</v>
      </c>
      <c r="H19" s="20">
        <f t="shared" si="5"/>
        <v>37299.5</v>
      </c>
      <c r="I19" s="29" t="s">
        <v>100</v>
      </c>
      <c r="J19" s="30" t="s">
        <v>101</v>
      </c>
      <c r="K19" s="29">
        <v>37299.5</v>
      </c>
      <c r="L19" s="29" t="s">
        <v>102</v>
      </c>
      <c r="M19" s="30" t="s">
        <v>70</v>
      </c>
      <c r="N19" s="30" t="s">
        <v>94</v>
      </c>
      <c r="O19" s="31" t="s">
        <v>95</v>
      </c>
      <c r="P19" s="32" t="s">
        <v>96</v>
      </c>
    </row>
    <row r="20" spans="1:16" ht="12.75" customHeight="1" x14ac:dyDescent="0.2">
      <c r="A20" s="20" t="str">
        <f t="shared" si="0"/>
        <v>BAVM 158 </v>
      </c>
      <c r="B20" s="8" t="str">
        <f t="shared" si="1"/>
        <v>II</v>
      </c>
      <c r="C20" s="20">
        <f t="shared" si="2"/>
        <v>52696.383600000001</v>
      </c>
      <c r="D20" t="str">
        <f t="shared" si="3"/>
        <v>vis</v>
      </c>
      <c r="E20">
        <f>VLOOKUP(C20,Active!C$21:E$973,3,FALSE)</f>
        <v>37423.613053017762</v>
      </c>
      <c r="F20" s="8" t="s">
        <v>56</v>
      </c>
      <c r="G20" t="str">
        <f t="shared" si="4"/>
        <v>52696.3836</v>
      </c>
      <c r="H20" s="20">
        <f t="shared" si="5"/>
        <v>37422.5</v>
      </c>
      <c r="I20" s="29" t="s">
        <v>103</v>
      </c>
      <c r="J20" s="30" t="s">
        <v>104</v>
      </c>
      <c r="K20" s="29">
        <v>37422.5</v>
      </c>
      <c r="L20" s="29" t="s">
        <v>105</v>
      </c>
      <c r="M20" s="30" t="s">
        <v>70</v>
      </c>
      <c r="N20" s="30" t="s">
        <v>106</v>
      </c>
      <c r="O20" s="31" t="s">
        <v>78</v>
      </c>
      <c r="P20" s="32" t="s">
        <v>107</v>
      </c>
    </row>
    <row r="21" spans="1:16" ht="12.75" customHeight="1" x14ac:dyDescent="0.2">
      <c r="A21" s="20" t="str">
        <f t="shared" si="0"/>
        <v>BAVM 173 </v>
      </c>
      <c r="B21" s="8" t="str">
        <f t="shared" si="1"/>
        <v>II</v>
      </c>
      <c r="C21" s="20">
        <f t="shared" si="2"/>
        <v>53387.276599999997</v>
      </c>
      <c r="D21" t="str">
        <f t="shared" si="3"/>
        <v>PE</v>
      </c>
      <c r="E21">
        <f>VLOOKUP(C21,Active!C$21:E$973,3,FALSE)</f>
        <v>38445.62362905703</v>
      </c>
      <c r="F21" s="8" t="str">
        <f>LEFT(M21,1)</f>
        <v>E</v>
      </c>
      <c r="G21" t="str">
        <f t="shared" si="4"/>
        <v>53387.2766</v>
      </c>
      <c r="H21" s="20">
        <f t="shared" si="5"/>
        <v>38444.5</v>
      </c>
      <c r="I21" s="29" t="s">
        <v>108</v>
      </c>
      <c r="J21" s="30" t="s">
        <v>109</v>
      </c>
      <c r="K21" s="29" t="s">
        <v>110</v>
      </c>
      <c r="L21" s="29" t="s">
        <v>111</v>
      </c>
      <c r="M21" s="30" t="s">
        <v>70</v>
      </c>
      <c r="N21" s="30" t="s">
        <v>106</v>
      </c>
      <c r="O21" s="31" t="s">
        <v>78</v>
      </c>
      <c r="P21" s="32" t="s">
        <v>112</v>
      </c>
    </row>
    <row r="22" spans="1:16" ht="12.75" customHeight="1" x14ac:dyDescent="0.2">
      <c r="A22" s="20" t="str">
        <f t="shared" si="0"/>
        <v>BAVM 173 </v>
      </c>
      <c r="B22" s="8" t="str">
        <f t="shared" si="1"/>
        <v>I</v>
      </c>
      <c r="C22" s="20">
        <f t="shared" si="2"/>
        <v>53387.619200000001</v>
      </c>
      <c r="D22" t="str">
        <f t="shared" si="3"/>
        <v>PE</v>
      </c>
      <c r="E22">
        <f>VLOOKUP(C22,Active!C$21:E$973,3,FALSE)</f>
        <v>38446.130423630653</v>
      </c>
      <c r="F22" s="8" t="str">
        <f>LEFT(M22,1)</f>
        <v>E</v>
      </c>
      <c r="G22" t="str">
        <f t="shared" si="4"/>
        <v>53387.6192</v>
      </c>
      <c r="H22" s="20">
        <f t="shared" si="5"/>
        <v>38445</v>
      </c>
      <c r="I22" s="29" t="s">
        <v>113</v>
      </c>
      <c r="J22" s="30" t="s">
        <v>114</v>
      </c>
      <c r="K22" s="29" t="s">
        <v>115</v>
      </c>
      <c r="L22" s="29" t="s">
        <v>116</v>
      </c>
      <c r="M22" s="30" t="s">
        <v>70</v>
      </c>
      <c r="N22" s="30" t="s">
        <v>106</v>
      </c>
      <c r="O22" s="31" t="s">
        <v>78</v>
      </c>
      <c r="P22" s="32" t="s">
        <v>112</v>
      </c>
    </row>
    <row r="23" spans="1:16" ht="12.75" customHeight="1" x14ac:dyDescent="0.2">
      <c r="A23" s="20" t="str">
        <f t="shared" si="0"/>
        <v>IBVS 5672 </v>
      </c>
      <c r="B23" s="8" t="str">
        <f t="shared" si="1"/>
        <v>I</v>
      </c>
      <c r="C23" s="20">
        <f t="shared" si="2"/>
        <v>53439.672500000001</v>
      </c>
      <c r="D23" t="str">
        <f t="shared" si="3"/>
        <v>PE</v>
      </c>
      <c r="E23">
        <f>VLOOKUP(C23,Active!C$21:E$973,3,FALSE)</f>
        <v>38523.130803020438</v>
      </c>
      <c r="F23" s="8" t="str">
        <f>LEFT(M23,1)</f>
        <v>E</v>
      </c>
      <c r="G23" t="str">
        <f t="shared" si="4"/>
        <v>53439.6725</v>
      </c>
      <c r="H23" s="20">
        <f t="shared" si="5"/>
        <v>38522</v>
      </c>
      <c r="I23" s="29" t="s">
        <v>117</v>
      </c>
      <c r="J23" s="30" t="s">
        <v>118</v>
      </c>
      <c r="K23" s="29" t="s">
        <v>119</v>
      </c>
      <c r="L23" s="29" t="s">
        <v>120</v>
      </c>
      <c r="M23" s="30" t="s">
        <v>70</v>
      </c>
      <c r="N23" s="30" t="s">
        <v>94</v>
      </c>
      <c r="O23" s="31" t="s">
        <v>121</v>
      </c>
      <c r="P23" s="32" t="s">
        <v>122</v>
      </c>
    </row>
    <row r="24" spans="1:16" ht="12.75" customHeight="1" x14ac:dyDescent="0.2">
      <c r="A24" s="20" t="str">
        <f t="shared" si="0"/>
        <v>BAVM 186 </v>
      </c>
      <c r="B24" s="8" t="str">
        <f t="shared" si="1"/>
        <v>I</v>
      </c>
      <c r="C24" s="20">
        <f t="shared" si="2"/>
        <v>54001.445099999997</v>
      </c>
      <c r="D24" t="str">
        <f t="shared" si="3"/>
        <v>CCD</v>
      </c>
      <c r="E24">
        <f>VLOOKUP(C24,Active!C$21:E$973,3,FALSE)</f>
        <v>39354.138699364848</v>
      </c>
      <c r="F24" s="8" t="str">
        <f>LEFT(M24,1)</f>
        <v>C</v>
      </c>
      <c r="G24" t="str">
        <f t="shared" si="4"/>
        <v>54001.4451</v>
      </c>
      <c r="H24" s="20">
        <f t="shared" si="5"/>
        <v>39353</v>
      </c>
      <c r="I24" s="29" t="s">
        <v>123</v>
      </c>
      <c r="J24" s="30" t="s">
        <v>124</v>
      </c>
      <c r="K24" s="29" t="s">
        <v>125</v>
      </c>
      <c r="L24" s="29" t="s">
        <v>126</v>
      </c>
      <c r="M24" s="30" t="s">
        <v>83</v>
      </c>
      <c r="N24" s="30" t="s">
        <v>71</v>
      </c>
      <c r="O24" s="31" t="s">
        <v>127</v>
      </c>
      <c r="P24" s="32" t="s">
        <v>128</v>
      </c>
    </row>
    <row r="25" spans="1:16" ht="12.75" customHeight="1" x14ac:dyDescent="0.2">
      <c r="A25" s="20" t="str">
        <f t="shared" si="0"/>
        <v>IBVS 5760 </v>
      </c>
      <c r="B25" s="8" t="str">
        <f t="shared" si="1"/>
        <v>I</v>
      </c>
      <c r="C25" s="20">
        <f t="shared" si="2"/>
        <v>54006.8531</v>
      </c>
      <c r="D25" t="str">
        <f t="shared" si="3"/>
        <v>CCD</v>
      </c>
      <c r="E25">
        <f>VLOOKUP(C25,Active!C$21:E$973,3,FALSE)</f>
        <v>39362.138538985782</v>
      </c>
      <c r="F25" s="8" t="str">
        <f>LEFT(M25,1)</f>
        <v>C</v>
      </c>
      <c r="G25" t="str">
        <f t="shared" si="4"/>
        <v>54006.8531</v>
      </c>
      <c r="H25" s="20">
        <f t="shared" si="5"/>
        <v>39361</v>
      </c>
      <c r="I25" s="29" t="s">
        <v>129</v>
      </c>
      <c r="J25" s="30" t="s">
        <v>130</v>
      </c>
      <c r="K25" s="29" t="s">
        <v>131</v>
      </c>
      <c r="L25" s="29" t="s">
        <v>132</v>
      </c>
      <c r="M25" s="30" t="s">
        <v>83</v>
      </c>
      <c r="N25" s="30" t="s">
        <v>133</v>
      </c>
      <c r="O25" s="31" t="s">
        <v>121</v>
      </c>
      <c r="P25" s="32" t="s">
        <v>134</v>
      </c>
    </row>
    <row r="26" spans="1:16" ht="12.75" customHeight="1" x14ac:dyDescent="0.2">
      <c r="A26" s="20" t="str">
        <f t="shared" si="0"/>
        <v>BAVM 201 </v>
      </c>
      <c r="B26" s="8" t="str">
        <f t="shared" si="1"/>
        <v>I</v>
      </c>
      <c r="C26" s="20">
        <f t="shared" si="2"/>
        <v>54506.4352</v>
      </c>
      <c r="D26" t="str">
        <f t="shared" si="3"/>
        <v>vis</v>
      </c>
      <c r="E26">
        <f>VLOOKUP(C26,Active!C$21:E$973,3,FALSE)</f>
        <v>40101.150498579977</v>
      </c>
      <c r="F26" s="8" t="s">
        <v>56</v>
      </c>
      <c r="G26" t="str">
        <f t="shared" si="4"/>
        <v>54506.4352</v>
      </c>
      <c r="H26" s="20">
        <f t="shared" si="5"/>
        <v>40100</v>
      </c>
      <c r="I26" s="29" t="s">
        <v>135</v>
      </c>
      <c r="J26" s="30" t="s">
        <v>136</v>
      </c>
      <c r="K26" s="29" t="s">
        <v>137</v>
      </c>
      <c r="L26" s="29" t="s">
        <v>138</v>
      </c>
      <c r="M26" s="30" t="s">
        <v>83</v>
      </c>
      <c r="N26" s="30" t="s">
        <v>106</v>
      </c>
      <c r="O26" s="31" t="s">
        <v>78</v>
      </c>
      <c r="P26" s="32" t="s">
        <v>139</v>
      </c>
    </row>
    <row r="27" spans="1:16" ht="12.75" customHeight="1" x14ac:dyDescent="0.2">
      <c r="A27" s="20" t="str">
        <f t="shared" si="0"/>
        <v>IBVS 5871 </v>
      </c>
      <c r="B27" s="8" t="str">
        <f t="shared" si="1"/>
        <v>I</v>
      </c>
      <c r="C27" s="20">
        <f t="shared" si="2"/>
        <v>54774.807999999997</v>
      </c>
      <c r="D27" t="str">
        <f t="shared" si="3"/>
        <v>vis</v>
      </c>
      <c r="E27">
        <f>VLOOKUP(C27,Active!C$21:E$973,3,FALSE)</f>
        <v>40498.143723176654</v>
      </c>
      <c r="F27" s="8" t="s">
        <v>56</v>
      </c>
      <c r="G27" t="str">
        <f t="shared" si="4"/>
        <v>54774.808</v>
      </c>
      <c r="H27" s="20">
        <f t="shared" si="5"/>
        <v>40497</v>
      </c>
      <c r="I27" s="29" t="s">
        <v>140</v>
      </c>
      <c r="J27" s="30" t="s">
        <v>141</v>
      </c>
      <c r="K27" s="29" t="s">
        <v>142</v>
      </c>
      <c r="L27" s="29" t="s">
        <v>143</v>
      </c>
      <c r="M27" s="30" t="s">
        <v>83</v>
      </c>
      <c r="N27" s="30" t="s">
        <v>56</v>
      </c>
      <c r="O27" s="31" t="s">
        <v>144</v>
      </c>
      <c r="P27" s="32" t="s">
        <v>145</v>
      </c>
    </row>
    <row r="28" spans="1:16" ht="12.75" customHeight="1" x14ac:dyDescent="0.2">
      <c r="A28" s="20" t="str">
        <f t="shared" si="0"/>
        <v>JAAVSO 37(1);44 </v>
      </c>
      <c r="B28" s="8" t="str">
        <f t="shared" si="1"/>
        <v>I</v>
      </c>
      <c r="C28" s="20">
        <f t="shared" si="2"/>
        <v>54828.219899999996</v>
      </c>
      <c r="D28" t="str">
        <f t="shared" si="3"/>
        <v>vis</v>
      </c>
      <c r="E28">
        <f>VLOOKUP(C28,Active!C$21:E$973,3,FALSE)</f>
        <v>40577.153825589543</v>
      </c>
      <c r="F28" s="8" t="s">
        <v>56</v>
      </c>
      <c r="G28" t="str">
        <f t="shared" si="4"/>
        <v>54828.2199</v>
      </c>
      <c r="H28" s="20">
        <f t="shared" si="5"/>
        <v>40576</v>
      </c>
      <c r="I28" s="29" t="s">
        <v>146</v>
      </c>
      <c r="J28" s="30" t="s">
        <v>147</v>
      </c>
      <c r="K28" s="29" t="s">
        <v>148</v>
      </c>
      <c r="L28" s="29" t="s">
        <v>149</v>
      </c>
      <c r="M28" s="30" t="s">
        <v>83</v>
      </c>
      <c r="N28" s="30" t="s">
        <v>84</v>
      </c>
      <c r="O28" s="31" t="s">
        <v>150</v>
      </c>
      <c r="P28" s="32" t="s">
        <v>86</v>
      </c>
    </row>
    <row r="29" spans="1:16" ht="12.75" customHeight="1" x14ac:dyDescent="0.2">
      <c r="A29" s="20" t="str">
        <f t="shared" si="0"/>
        <v>IBVS 5938 </v>
      </c>
      <c r="B29" s="8" t="str">
        <f t="shared" si="1"/>
        <v>I</v>
      </c>
      <c r="C29" s="20">
        <f t="shared" si="2"/>
        <v>54879.535300000003</v>
      </c>
      <c r="D29" t="str">
        <f t="shared" si="3"/>
        <v>vis</v>
      </c>
      <c r="E29">
        <f>VLOOKUP(C29,Active!C$21:E$973,3,FALSE)</f>
        <v>40653.062658815084</v>
      </c>
      <c r="F29" s="8" t="s">
        <v>56</v>
      </c>
      <c r="G29" t="str">
        <f t="shared" si="4"/>
        <v>54879.5353</v>
      </c>
      <c r="H29" s="20">
        <f t="shared" si="5"/>
        <v>40652</v>
      </c>
      <c r="I29" s="29" t="s">
        <v>151</v>
      </c>
      <c r="J29" s="30" t="s">
        <v>152</v>
      </c>
      <c r="K29" s="29" t="s">
        <v>153</v>
      </c>
      <c r="L29" s="29" t="s">
        <v>154</v>
      </c>
      <c r="M29" s="30" t="s">
        <v>83</v>
      </c>
      <c r="N29" s="30" t="s">
        <v>56</v>
      </c>
      <c r="O29" s="31" t="s">
        <v>85</v>
      </c>
      <c r="P29" s="32" t="s">
        <v>155</v>
      </c>
    </row>
    <row r="30" spans="1:16" ht="12.75" customHeight="1" x14ac:dyDescent="0.2">
      <c r="A30" s="20" t="str">
        <f t="shared" si="0"/>
        <v> JAAVSO 38;85 </v>
      </c>
      <c r="B30" s="8" t="str">
        <f t="shared" si="1"/>
        <v>I</v>
      </c>
      <c r="C30" s="20">
        <f t="shared" si="2"/>
        <v>54880.272700000001</v>
      </c>
      <c r="D30" t="str">
        <f t="shared" si="3"/>
        <v>vis</v>
      </c>
      <c r="E30">
        <f>VLOOKUP(C30,Active!C$21:E$973,3,FALSE)</f>
        <v>40654.153465349191</v>
      </c>
      <c r="F30" s="8" t="s">
        <v>56</v>
      </c>
      <c r="G30" t="str">
        <f t="shared" si="4"/>
        <v>54880.2727</v>
      </c>
      <c r="H30" s="20">
        <f t="shared" si="5"/>
        <v>40653</v>
      </c>
      <c r="I30" s="29" t="s">
        <v>156</v>
      </c>
      <c r="J30" s="30" t="s">
        <v>157</v>
      </c>
      <c r="K30" s="29" t="s">
        <v>158</v>
      </c>
      <c r="L30" s="29" t="s">
        <v>159</v>
      </c>
      <c r="M30" s="30" t="s">
        <v>83</v>
      </c>
      <c r="N30" s="30" t="s">
        <v>84</v>
      </c>
      <c r="O30" s="31" t="s">
        <v>160</v>
      </c>
      <c r="P30" s="31" t="s">
        <v>161</v>
      </c>
    </row>
    <row r="31" spans="1:16" ht="12.75" customHeight="1" x14ac:dyDescent="0.2">
      <c r="A31" s="20" t="str">
        <f t="shared" si="0"/>
        <v>IBVS 5960 </v>
      </c>
      <c r="B31" s="8" t="str">
        <f t="shared" si="1"/>
        <v>I</v>
      </c>
      <c r="C31" s="20">
        <f t="shared" si="2"/>
        <v>55500.859499999999</v>
      </c>
      <c r="D31" t="str">
        <f t="shared" si="3"/>
        <v>vis</v>
      </c>
      <c r="E31">
        <f>VLOOKUP(C31,Active!C$21:E$973,3,FALSE)</f>
        <v>41572.162871943801</v>
      </c>
      <c r="F31" s="8" t="s">
        <v>56</v>
      </c>
      <c r="G31" t="str">
        <f t="shared" si="4"/>
        <v>55500.8595</v>
      </c>
      <c r="H31" s="20">
        <f t="shared" si="5"/>
        <v>41571</v>
      </c>
      <c r="I31" s="29" t="s">
        <v>162</v>
      </c>
      <c r="J31" s="30" t="s">
        <v>163</v>
      </c>
      <c r="K31" s="29" t="s">
        <v>164</v>
      </c>
      <c r="L31" s="29" t="s">
        <v>165</v>
      </c>
      <c r="M31" s="30" t="s">
        <v>83</v>
      </c>
      <c r="N31" s="30" t="s">
        <v>56</v>
      </c>
      <c r="O31" s="31" t="s">
        <v>144</v>
      </c>
      <c r="P31" s="32" t="s">
        <v>166</v>
      </c>
    </row>
    <row r="32" spans="1:16" ht="12.75" customHeight="1" x14ac:dyDescent="0.2">
      <c r="A32" s="20" t="str">
        <f t="shared" si="0"/>
        <v>OEJV 0137 </v>
      </c>
      <c r="B32" s="8" t="str">
        <f t="shared" si="1"/>
        <v>I</v>
      </c>
      <c r="C32" s="20">
        <f t="shared" si="2"/>
        <v>55629.3024</v>
      </c>
      <c r="D32" t="str">
        <f t="shared" si="3"/>
        <v>vis</v>
      </c>
      <c r="E32">
        <f>VLOOKUP(C32,Active!C$21:E$973,3,FALSE)</f>
        <v>41762.163352795622</v>
      </c>
      <c r="F32" s="8" t="s">
        <v>56</v>
      </c>
      <c r="G32" t="str">
        <f t="shared" si="4"/>
        <v>55629.3024</v>
      </c>
      <c r="H32" s="20">
        <f t="shared" si="5"/>
        <v>41761</v>
      </c>
      <c r="I32" s="29" t="s">
        <v>167</v>
      </c>
      <c r="J32" s="30" t="s">
        <v>168</v>
      </c>
      <c r="K32" s="29" t="s">
        <v>169</v>
      </c>
      <c r="L32" s="29" t="s">
        <v>170</v>
      </c>
      <c r="M32" s="30" t="s">
        <v>83</v>
      </c>
      <c r="N32" s="30" t="s">
        <v>56</v>
      </c>
      <c r="O32" s="31" t="s">
        <v>171</v>
      </c>
      <c r="P32" s="32" t="s">
        <v>172</v>
      </c>
    </row>
    <row r="33" spans="1:16" ht="12.75" customHeight="1" x14ac:dyDescent="0.2">
      <c r="A33" s="20" t="str">
        <f t="shared" si="0"/>
        <v>OEJV 0137 </v>
      </c>
      <c r="B33" s="8" t="str">
        <f t="shared" si="1"/>
        <v>I</v>
      </c>
      <c r="C33" s="20">
        <f t="shared" si="2"/>
        <v>55629.302799999998</v>
      </c>
      <c r="D33" t="str">
        <f t="shared" si="3"/>
        <v>vis</v>
      </c>
      <c r="E33">
        <f>VLOOKUP(C33,Active!C$21:E$973,3,FALSE)</f>
        <v>41762.163944499734</v>
      </c>
      <c r="F33" s="8" t="s">
        <v>56</v>
      </c>
      <c r="G33" t="str">
        <f t="shared" si="4"/>
        <v>55629.3028</v>
      </c>
      <c r="H33" s="20">
        <f t="shared" si="5"/>
        <v>41761</v>
      </c>
      <c r="I33" s="29" t="s">
        <v>173</v>
      </c>
      <c r="J33" s="30" t="s">
        <v>174</v>
      </c>
      <c r="K33" s="29" t="s">
        <v>169</v>
      </c>
      <c r="L33" s="29" t="s">
        <v>175</v>
      </c>
      <c r="M33" s="30" t="s">
        <v>83</v>
      </c>
      <c r="N33" s="30" t="s">
        <v>133</v>
      </c>
      <c r="O33" s="31" t="s">
        <v>171</v>
      </c>
      <c r="P33" s="32" t="s">
        <v>172</v>
      </c>
    </row>
    <row r="34" spans="1:16" ht="12.75" customHeight="1" x14ac:dyDescent="0.2">
      <c r="A34" s="20" t="str">
        <f t="shared" si="0"/>
        <v>IBVS 6011 </v>
      </c>
      <c r="B34" s="8" t="str">
        <f t="shared" si="1"/>
        <v>I</v>
      </c>
      <c r="C34" s="20">
        <f t="shared" si="2"/>
        <v>55863.883000000002</v>
      </c>
      <c r="D34" t="str">
        <f t="shared" si="3"/>
        <v>vis</v>
      </c>
      <c r="E34">
        <f>VLOOKUP(C34,Active!C$21:E$973,3,FALSE)</f>
        <v>42109.16911799174</v>
      </c>
      <c r="F34" s="8" t="s">
        <v>56</v>
      </c>
      <c r="G34" t="str">
        <f t="shared" si="4"/>
        <v>55863.8830</v>
      </c>
      <c r="H34" s="20">
        <f t="shared" si="5"/>
        <v>42108</v>
      </c>
      <c r="I34" s="29" t="s">
        <v>176</v>
      </c>
      <c r="J34" s="30" t="s">
        <v>177</v>
      </c>
      <c r="K34" s="29" t="s">
        <v>178</v>
      </c>
      <c r="L34" s="29" t="s">
        <v>179</v>
      </c>
      <c r="M34" s="30" t="s">
        <v>83</v>
      </c>
      <c r="N34" s="30" t="s">
        <v>56</v>
      </c>
      <c r="O34" s="31" t="s">
        <v>144</v>
      </c>
      <c r="P34" s="32" t="s">
        <v>180</v>
      </c>
    </row>
    <row r="35" spans="1:16" ht="12.75" customHeight="1" x14ac:dyDescent="0.2">
      <c r="A35" s="20" t="str">
        <f t="shared" si="0"/>
        <v>BAVM 228 </v>
      </c>
      <c r="B35" s="8" t="str">
        <f t="shared" si="1"/>
        <v>II</v>
      </c>
      <c r="C35" s="20">
        <f t="shared" si="2"/>
        <v>55953.450299999997</v>
      </c>
      <c r="D35" t="str">
        <f t="shared" si="3"/>
        <v>vis</v>
      </c>
      <c r="E35">
        <f>VLOOKUP(C35,Active!C$21:E$973,3,FALSE)</f>
        <v>42241.66246771055</v>
      </c>
      <c r="F35" s="8" t="s">
        <v>56</v>
      </c>
      <c r="G35" t="str">
        <f t="shared" si="4"/>
        <v>55953.4503</v>
      </c>
      <c r="H35" s="20">
        <f t="shared" si="5"/>
        <v>42240.5</v>
      </c>
      <c r="I35" s="29" t="s">
        <v>181</v>
      </c>
      <c r="J35" s="30" t="s">
        <v>182</v>
      </c>
      <c r="K35" s="29" t="s">
        <v>183</v>
      </c>
      <c r="L35" s="29" t="s">
        <v>184</v>
      </c>
      <c r="M35" s="30" t="s">
        <v>83</v>
      </c>
      <c r="N35" s="30" t="s">
        <v>56</v>
      </c>
      <c r="O35" s="31" t="s">
        <v>185</v>
      </c>
      <c r="P35" s="32" t="s">
        <v>186</v>
      </c>
    </row>
    <row r="36" spans="1:16" ht="12.75" customHeight="1" x14ac:dyDescent="0.2">
      <c r="A36" s="20" t="str">
        <f t="shared" si="0"/>
        <v>IBVS 6063 </v>
      </c>
      <c r="B36" s="8" t="str">
        <f t="shared" si="1"/>
        <v>I</v>
      </c>
      <c r="C36" s="20">
        <f t="shared" si="2"/>
        <v>56310.729599999999</v>
      </c>
      <c r="D36" t="str">
        <f t="shared" si="3"/>
        <v>vis</v>
      </c>
      <c r="E36">
        <f>VLOOKUP(C36,Active!C$21:E$973,3,FALSE)</f>
        <v>42770.17154682977</v>
      </c>
      <c r="F36" s="8" t="s">
        <v>56</v>
      </c>
      <c r="G36" t="str">
        <f t="shared" si="4"/>
        <v>56310.7296</v>
      </c>
      <c r="H36" s="20">
        <f t="shared" si="5"/>
        <v>42769</v>
      </c>
      <c r="I36" s="29" t="s">
        <v>187</v>
      </c>
      <c r="J36" s="30" t="s">
        <v>188</v>
      </c>
      <c r="K36" s="29" t="s">
        <v>189</v>
      </c>
      <c r="L36" s="29" t="s">
        <v>190</v>
      </c>
      <c r="M36" s="30" t="s">
        <v>83</v>
      </c>
      <c r="N36" s="30" t="s">
        <v>56</v>
      </c>
      <c r="O36" s="31" t="s">
        <v>144</v>
      </c>
      <c r="P36" s="32" t="s">
        <v>191</v>
      </c>
    </row>
    <row r="37" spans="1:16" ht="12.75" customHeight="1" x14ac:dyDescent="0.2">
      <c r="A37" s="20" t="str">
        <f t="shared" si="0"/>
        <v> MVS 408 </v>
      </c>
      <c r="B37" s="8" t="str">
        <f t="shared" si="1"/>
        <v>I</v>
      </c>
      <c r="C37" s="20">
        <f t="shared" si="2"/>
        <v>27397.534</v>
      </c>
      <c r="D37" t="str">
        <f t="shared" si="3"/>
        <v>vis</v>
      </c>
      <c r="E37">
        <f>VLOOKUP(C37,Active!C$21:E$973,3,FALSE)</f>
        <v>2.9585205699336568E-2</v>
      </c>
      <c r="F37" s="8" t="s">
        <v>56</v>
      </c>
      <c r="G37" t="str">
        <f t="shared" si="4"/>
        <v>27397.534</v>
      </c>
      <c r="H37" s="20">
        <f t="shared" si="5"/>
        <v>0</v>
      </c>
      <c r="I37" s="29" t="s">
        <v>192</v>
      </c>
      <c r="J37" s="30" t="s">
        <v>193</v>
      </c>
      <c r="K37" s="29">
        <v>0</v>
      </c>
      <c r="L37" s="29" t="s">
        <v>194</v>
      </c>
      <c r="M37" s="30" t="s">
        <v>195</v>
      </c>
      <c r="N37" s="30"/>
      <c r="O37" s="31" t="s">
        <v>196</v>
      </c>
      <c r="P37" s="31" t="s">
        <v>197</v>
      </c>
    </row>
    <row r="38" spans="1:16" ht="12.75" customHeight="1" x14ac:dyDescent="0.2">
      <c r="A38" s="20" t="str">
        <f t="shared" si="0"/>
        <v> VSS 1.318 </v>
      </c>
      <c r="B38" s="8" t="str">
        <f t="shared" si="1"/>
        <v>II</v>
      </c>
      <c r="C38" s="20">
        <f t="shared" si="2"/>
        <v>28022.53</v>
      </c>
      <c r="D38" t="str">
        <f t="shared" si="3"/>
        <v>vis</v>
      </c>
      <c r="E38">
        <f>VLOOKUP(C38,Active!C$21:E$973,3,FALSE)</f>
        <v>924.56134624864546</v>
      </c>
      <c r="F38" s="8" t="s">
        <v>56</v>
      </c>
      <c r="G38" t="str">
        <f t="shared" si="4"/>
        <v>28022.530</v>
      </c>
      <c r="H38" s="20">
        <f t="shared" si="5"/>
        <v>924.5</v>
      </c>
      <c r="I38" s="29" t="s">
        <v>198</v>
      </c>
      <c r="J38" s="30" t="s">
        <v>199</v>
      </c>
      <c r="K38" s="29">
        <v>924.5</v>
      </c>
      <c r="L38" s="29" t="s">
        <v>194</v>
      </c>
      <c r="M38" s="30" t="s">
        <v>195</v>
      </c>
      <c r="N38" s="30"/>
      <c r="O38" s="31" t="s">
        <v>200</v>
      </c>
      <c r="P38" s="31" t="s">
        <v>201</v>
      </c>
    </row>
    <row r="39" spans="1:16" ht="12.75" customHeight="1" x14ac:dyDescent="0.2">
      <c r="A39" s="20" t="str">
        <f t="shared" si="0"/>
        <v> VSS 1.318 </v>
      </c>
      <c r="B39" s="8" t="str">
        <f t="shared" si="1"/>
        <v>II</v>
      </c>
      <c r="C39" s="20">
        <f t="shared" si="2"/>
        <v>28070.468000000001</v>
      </c>
      <c r="D39" t="str">
        <f t="shared" si="3"/>
        <v>vis</v>
      </c>
      <c r="E39">
        <f>VLOOKUP(C39,Active!C$21:E$973,3,FALSE)</f>
        <v>995.47412578784031</v>
      </c>
      <c r="F39" s="8" t="s">
        <v>56</v>
      </c>
      <c r="G39" t="str">
        <f t="shared" si="4"/>
        <v>28070.468</v>
      </c>
      <c r="H39" s="20">
        <f t="shared" si="5"/>
        <v>995.5</v>
      </c>
      <c r="I39" s="29" t="s">
        <v>202</v>
      </c>
      <c r="J39" s="30" t="s">
        <v>203</v>
      </c>
      <c r="K39" s="29">
        <v>995.5</v>
      </c>
      <c r="L39" s="29" t="s">
        <v>204</v>
      </c>
      <c r="M39" s="30" t="s">
        <v>195</v>
      </c>
      <c r="N39" s="30"/>
      <c r="O39" s="31" t="s">
        <v>200</v>
      </c>
      <c r="P39" s="31" t="s">
        <v>201</v>
      </c>
    </row>
    <row r="40" spans="1:16" ht="12.75" customHeight="1" x14ac:dyDescent="0.2">
      <c r="A40" s="20" t="str">
        <f t="shared" si="0"/>
        <v> VSS 1.318 </v>
      </c>
      <c r="B40" s="8" t="str">
        <f t="shared" si="1"/>
        <v>II</v>
      </c>
      <c r="C40" s="20">
        <f t="shared" si="2"/>
        <v>28104.359</v>
      </c>
      <c r="D40" t="str">
        <f t="shared" si="3"/>
        <v>vis</v>
      </c>
      <c r="E40">
        <f>VLOOKUP(C40,Active!C$21:E$973,3,FALSE)</f>
        <v>1045.6077361045561</v>
      </c>
      <c r="F40" s="8" t="s">
        <v>56</v>
      </c>
      <c r="G40" t="str">
        <f t="shared" si="4"/>
        <v>28104.359</v>
      </c>
      <c r="H40" s="20">
        <f t="shared" si="5"/>
        <v>1045.5</v>
      </c>
      <c r="I40" s="29" t="s">
        <v>205</v>
      </c>
      <c r="J40" s="30" t="s">
        <v>206</v>
      </c>
      <c r="K40" s="29">
        <v>1045.5</v>
      </c>
      <c r="L40" s="29" t="s">
        <v>207</v>
      </c>
      <c r="M40" s="30" t="s">
        <v>195</v>
      </c>
      <c r="N40" s="30"/>
      <c r="O40" s="31" t="s">
        <v>200</v>
      </c>
      <c r="P40" s="31" t="s">
        <v>201</v>
      </c>
    </row>
    <row r="41" spans="1:16" ht="12.75" customHeight="1" x14ac:dyDescent="0.2">
      <c r="A41" s="20" t="str">
        <f t="shared" si="0"/>
        <v> VSS 1.318 </v>
      </c>
      <c r="B41" s="8" t="str">
        <f t="shared" si="1"/>
        <v>II</v>
      </c>
      <c r="C41" s="20">
        <f t="shared" si="2"/>
        <v>28108.358</v>
      </c>
      <c r="D41" t="str">
        <f t="shared" si="3"/>
        <v>vis</v>
      </c>
      <c r="E41">
        <f>VLOOKUP(C41,Active!C$21:E$973,3,FALSE)</f>
        <v>1051.5232979840091</v>
      </c>
      <c r="F41" s="8" t="s">
        <v>56</v>
      </c>
      <c r="G41" t="str">
        <f t="shared" si="4"/>
        <v>28108.358</v>
      </c>
      <c r="H41" s="20">
        <f t="shared" si="5"/>
        <v>1051.5</v>
      </c>
      <c r="I41" s="29" t="s">
        <v>208</v>
      </c>
      <c r="J41" s="30" t="s">
        <v>209</v>
      </c>
      <c r="K41" s="29">
        <v>1051.5</v>
      </c>
      <c r="L41" s="29" t="s">
        <v>210</v>
      </c>
      <c r="M41" s="30" t="s">
        <v>195</v>
      </c>
      <c r="N41" s="30"/>
      <c r="O41" s="31" t="s">
        <v>200</v>
      </c>
      <c r="P41" s="31" t="s">
        <v>201</v>
      </c>
    </row>
    <row r="42" spans="1:16" ht="12.75" customHeight="1" x14ac:dyDescent="0.2">
      <c r="A42" s="20" t="str">
        <f t="shared" si="0"/>
        <v> MVS 408 </v>
      </c>
      <c r="B42" s="8" t="str">
        <f t="shared" si="1"/>
        <v>II</v>
      </c>
      <c r="C42" s="20">
        <f t="shared" si="2"/>
        <v>28246.304</v>
      </c>
      <c r="D42" t="str">
        <f t="shared" si="3"/>
        <v>vis</v>
      </c>
      <c r="E42">
        <f>VLOOKUP(C42,Active!C$21:E$973,3,FALSE)</f>
        <v>1255.5813372495888</v>
      </c>
      <c r="F42" s="8" t="s">
        <v>56</v>
      </c>
      <c r="G42" t="str">
        <f t="shared" si="4"/>
        <v>28246.304</v>
      </c>
      <c r="H42" s="20">
        <f t="shared" si="5"/>
        <v>1255.5</v>
      </c>
      <c r="I42" s="29" t="s">
        <v>211</v>
      </c>
      <c r="J42" s="30" t="s">
        <v>212</v>
      </c>
      <c r="K42" s="29">
        <v>1255.5</v>
      </c>
      <c r="L42" s="29" t="s">
        <v>213</v>
      </c>
      <c r="M42" s="30" t="s">
        <v>195</v>
      </c>
      <c r="N42" s="30"/>
      <c r="O42" s="31" t="s">
        <v>196</v>
      </c>
      <c r="P42" s="31" t="s">
        <v>197</v>
      </c>
    </row>
    <row r="43" spans="1:16" ht="12.75" customHeight="1" x14ac:dyDescent="0.2">
      <c r="A43" s="20" t="str">
        <f t="shared" ref="A43:A74" si="6">P43</f>
        <v> MVS 408 </v>
      </c>
      <c r="B43" s="8" t="str">
        <f t="shared" ref="B43:B74" si="7">IF(H43=INT(H43),"I","II")</f>
        <v>I</v>
      </c>
      <c r="C43" s="20">
        <f t="shared" ref="C43:C74" si="8">1*G43</f>
        <v>28409.567999999999</v>
      </c>
      <c r="D43" t="str">
        <f t="shared" ref="D43:D74" si="9">VLOOKUP(F43,I$1:J$5,2,FALSE)</f>
        <v>vis</v>
      </c>
      <c r="E43">
        <f>VLOOKUP(C43,Active!C$21:E$973,3,FALSE)</f>
        <v>1497.0912884091404</v>
      </c>
      <c r="F43" s="8" t="s">
        <v>56</v>
      </c>
      <c r="G43" t="str">
        <f t="shared" ref="G43:G74" si="10">MID(I43,3,LEN(I43)-3)</f>
        <v>28409.568</v>
      </c>
      <c r="H43" s="20">
        <f t="shared" ref="H43:H74" si="11">1*K43</f>
        <v>1497</v>
      </c>
      <c r="I43" s="29" t="s">
        <v>214</v>
      </c>
      <c r="J43" s="30" t="s">
        <v>215</v>
      </c>
      <c r="K43" s="29">
        <v>1497</v>
      </c>
      <c r="L43" s="29" t="s">
        <v>216</v>
      </c>
      <c r="M43" s="30" t="s">
        <v>195</v>
      </c>
      <c r="N43" s="30"/>
      <c r="O43" s="31" t="s">
        <v>196</v>
      </c>
      <c r="P43" s="31" t="s">
        <v>197</v>
      </c>
    </row>
    <row r="44" spans="1:16" ht="12.75" customHeight="1" x14ac:dyDescent="0.2">
      <c r="A44" s="20" t="str">
        <f t="shared" si="6"/>
        <v> MVS 408 </v>
      </c>
      <c r="B44" s="8" t="str">
        <f t="shared" si="7"/>
        <v>II</v>
      </c>
      <c r="C44" s="20">
        <f t="shared" si="8"/>
        <v>29216.378000000001</v>
      </c>
      <c r="D44" t="str">
        <f t="shared" si="9"/>
        <v>vis</v>
      </c>
      <c r="E44">
        <f>VLOOKUP(C44,Active!C$21:E$973,3,FALSE)</f>
        <v>2690.5732788971782</v>
      </c>
      <c r="F44" s="8" t="s">
        <v>56</v>
      </c>
      <c r="G44" t="str">
        <f t="shared" si="10"/>
        <v>29216.378</v>
      </c>
      <c r="H44" s="20">
        <f t="shared" si="11"/>
        <v>2690.5</v>
      </c>
      <c r="I44" s="29" t="s">
        <v>217</v>
      </c>
      <c r="J44" s="30" t="s">
        <v>218</v>
      </c>
      <c r="K44" s="29">
        <v>2690.5</v>
      </c>
      <c r="L44" s="29" t="s">
        <v>219</v>
      </c>
      <c r="M44" s="30" t="s">
        <v>195</v>
      </c>
      <c r="N44" s="30"/>
      <c r="O44" s="31" t="s">
        <v>196</v>
      </c>
      <c r="P44" s="31" t="s">
        <v>197</v>
      </c>
    </row>
    <row r="45" spans="1:16" ht="12.75" customHeight="1" x14ac:dyDescent="0.2">
      <c r="A45" s="20" t="str">
        <f t="shared" si="6"/>
        <v> MVS 408 </v>
      </c>
      <c r="B45" s="8" t="str">
        <f t="shared" si="7"/>
        <v>II</v>
      </c>
      <c r="C45" s="20">
        <f t="shared" si="8"/>
        <v>29229.233</v>
      </c>
      <c r="D45" t="str">
        <f t="shared" si="9"/>
        <v>vis</v>
      </c>
      <c r="E45">
        <f>VLOOKUP(C45,Active!C$21:E$973,3,FALSE)</f>
        <v>2709.5891698600108</v>
      </c>
      <c r="F45" s="8" t="s">
        <v>56</v>
      </c>
      <c r="G45" t="str">
        <f t="shared" si="10"/>
        <v>29229.233</v>
      </c>
      <c r="H45" s="20">
        <f t="shared" si="11"/>
        <v>2709.5</v>
      </c>
      <c r="I45" s="29" t="s">
        <v>220</v>
      </c>
      <c r="J45" s="30" t="s">
        <v>221</v>
      </c>
      <c r="K45" s="29">
        <v>2709.5</v>
      </c>
      <c r="L45" s="29" t="s">
        <v>222</v>
      </c>
      <c r="M45" s="30" t="s">
        <v>195</v>
      </c>
      <c r="N45" s="30"/>
      <c r="O45" s="31" t="s">
        <v>196</v>
      </c>
      <c r="P45" s="31" t="s">
        <v>197</v>
      </c>
    </row>
    <row r="46" spans="1:16" ht="12.75" customHeight="1" x14ac:dyDescent="0.2">
      <c r="A46" s="20" t="str">
        <f t="shared" si="6"/>
        <v> MVS 408 </v>
      </c>
      <c r="B46" s="8" t="str">
        <f t="shared" si="7"/>
        <v>I</v>
      </c>
      <c r="C46" s="20">
        <f t="shared" si="8"/>
        <v>29330.31</v>
      </c>
      <c r="D46" t="str">
        <f t="shared" si="9"/>
        <v>vis</v>
      </c>
      <c r="E46">
        <f>VLOOKUP(C46,Active!C$21:E$973,3,FALSE)</f>
        <v>2859.1083616803412</v>
      </c>
      <c r="F46" s="8" t="s">
        <v>56</v>
      </c>
      <c r="G46" t="str">
        <f t="shared" si="10"/>
        <v>29330.310</v>
      </c>
      <c r="H46" s="20">
        <f t="shared" si="11"/>
        <v>2859</v>
      </c>
      <c r="I46" s="29" t="s">
        <v>223</v>
      </c>
      <c r="J46" s="30" t="s">
        <v>224</v>
      </c>
      <c r="K46" s="29">
        <v>2859</v>
      </c>
      <c r="L46" s="29" t="s">
        <v>225</v>
      </c>
      <c r="M46" s="30" t="s">
        <v>195</v>
      </c>
      <c r="N46" s="30"/>
      <c r="O46" s="31" t="s">
        <v>196</v>
      </c>
      <c r="P46" s="31" t="s">
        <v>197</v>
      </c>
    </row>
    <row r="47" spans="1:16" ht="12.75" customHeight="1" x14ac:dyDescent="0.2">
      <c r="A47" s="20" t="str">
        <f t="shared" si="6"/>
        <v> MVS 408 </v>
      </c>
      <c r="B47" s="8" t="str">
        <f t="shared" si="7"/>
        <v>II</v>
      </c>
      <c r="C47" s="20">
        <f t="shared" si="8"/>
        <v>29491.537</v>
      </c>
      <c r="D47" t="str">
        <f t="shared" si="9"/>
        <v>vis</v>
      </c>
      <c r="E47">
        <f>VLOOKUP(C47,Active!C$21:E$973,3,FALSE)</f>
        <v>3097.6050596394803</v>
      </c>
      <c r="F47" s="8" t="s">
        <v>56</v>
      </c>
      <c r="G47" t="str">
        <f t="shared" si="10"/>
        <v>29491.537</v>
      </c>
      <c r="H47" s="20">
        <f t="shared" si="11"/>
        <v>3097.5</v>
      </c>
      <c r="I47" s="29" t="s">
        <v>226</v>
      </c>
      <c r="J47" s="30" t="s">
        <v>227</v>
      </c>
      <c r="K47" s="29">
        <v>3097.5</v>
      </c>
      <c r="L47" s="29" t="s">
        <v>228</v>
      </c>
      <c r="M47" s="30" t="s">
        <v>195</v>
      </c>
      <c r="N47" s="30"/>
      <c r="O47" s="31" t="s">
        <v>196</v>
      </c>
      <c r="P47" s="31" t="s">
        <v>197</v>
      </c>
    </row>
    <row r="48" spans="1:16" ht="12.75" customHeight="1" x14ac:dyDescent="0.2">
      <c r="A48" s="20" t="str">
        <f t="shared" si="6"/>
        <v> MVS 408 </v>
      </c>
      <c r="B48" s="8" t="str">
        <f t="shared" si="7"/>
        <v>II</v>
      </c>
      <c r="C48" s="20">
        <f t="shared" si="8"/>
        <v>29497.581999999999</v>
      </c>
      <c r="D48" t="str">
        <f t="shared" si="9"/>
        <v>vis</v>
      </c>
      <c r="E48">
        <f>VLOOKUP(C48,Active!C$21:E$973,3,FALSE)</f>
        <v>3106.547188061907</v>
      </c>
      <c r="F48" s="8" t="s">
        <v>56</v>
      </c>
      <c r="G48" t="str">
        <f t="shared" si="10"/>
        <v>29497.582</v>
      </c>
      <c r="H48" s="20">
        <f t="shared" si="11"/>
        <v>3106.5</v>
      </c>
      <c r="I48" s="29" t="s">
        <v>229</v>
      </c>
      <c r="J48" s="30" t="s">
        <v>230</v>
      </c>
      <c r="K48" s="29">
        <v>3106.5</v>
      </c>
      <c r="L48" s="29" t="s">
        <v>204</v>
      </c>
      <c r="M48" s="30" t="s">
        <v>195</v>
      </c>
      <c r="N48" s="30"/>
      <c r="O48" s="31" t="s">
        <v>196</v>
      </c>
      <c r="P48" s="31" t="s">
        <v>197</v>
      </c>
    </row>
    <row r="49" spans="1:16" ht="12.75" customHeight="1" x14ac:dyDescent="0.2">
      <c r="A49" s="20" t="str">
        <f t="shared" si="6"/>
        <v> MVS 408 </v>
      </c>
      <c r="B49" s="8" t="str">
        <f t="shared" si="7"/>
        <v>I</v>
      </c>
      <c r="C49" s="20">
        <f t="shared" si="8"/>
        <v>29691.302</v>
      </c>
      <c r="D49" t="str">
        <f t="shared" si="9"/>
        <v>vis</v>
      </c>
      <c r="E49">
        <f>VLOOKUP(C49,Active!C$21:E$973,3,FALSE)</f>
        <v>3393.1094904594279</v>
      </c>
      <c r="F49" s="8" t="s">
        <v>56</v>
      </c>
      <c r="G49" t="str">
        <f t="shared" si="10"/>
        <v>29691.302</v>
      </c>
      <c r="H49" s="20">
        <f t="shared" si="11"/>
        <v>3393</v>
      </c>
      <c r="I49" s="29" t="s">
        <v>231</v>
      </c>
      <c r="J49" s="30" t="s">
        <v>232</v>
      </c>
      <c r="K49" s="29">
        <v>3393</v>
      </c>
      <c r="L49" s="29" t="s">
        <v>233</v>
      </c>
      <c r="M49" s="30" t="s">
        <v>195</v>
      </c>
      <c r="N49" s="30"/>
      <c r="O49" s="31" t="s">
        <v>196</v>
      </c>
      <c r="P49" s="31" t="s">
        <v>197</v>
      </c>
    </row>
    <row r="50" spans="1:16" ht="12.75" customHeight="1" x14ac:dyDescent="0.2">
      <c r="A50" s="20" t="str">
        <f t="shared" si="6"/>
        <v> MVS 408 </v>
      </c>
      <c r="B50" s="8" t="str">
        <f t="shared" si="7"/>
        <v>II</v>
      </c>
      <c r="C50" s="20">
        <f t="shared" si="8"/>
        <v>29984.356</v>
      </c>
      <c r="D50" t="str">
        <f t="shared" si="9"/>
        <v>vis</v>
      </c>
      <c r="E50">
        <f>VLOOKUP(C50,Active!C$21:E$973,3,FALSE)</f>
        <v>3826.6126340006344</v>
      </c>
      <c r="F50" s="8" t="s">
        <v>56</v>
      </c>
      <c r="G50" t="str">
        <f t="shared" si="10"/>
        <v>29984.356</v>
      </c>
      <c r="H50" s="20">
        <f t="shared" si="11"/>
        <v>3826.5</v>
      </c>
      <c r="I50" s="29" t="s">
        <v>234</v>
      </c>
      <c r="J50" s="30" t="s">
        <v>235</v>
      </c>
      <c r="K50" s="29">
        <v>3826.5</v>
      </c>
      <c r="L50" s="29" t="s">
        <v>219</v>
      </c>
      <c r="M50" s="30" t="s">
        <v>195</v>
      </c>
      <c r="N50" s="30"/>
      <c r="O50" s="31" t="s">
        <v>196</v>
      </c>
      <c r="P50" s="31" t="s">
        <v>197</v>
      </c>
    </row>
    <row r="51" spans="1:16" ht="12.75" customHeight="1" x14ac:dyDescent="0.2">
      <c r="A51" s="20" t="str">
        <f t="shared" si="6"/>
        <v> VSS 1.319 </v>
      </c>
      <c r="B51" s="8" t="str">
        <f t="shared" si="7"/>
        <v>I</v>
      </c>
      <c r="C51" s="20">
        <f t="shared" si="8"/>
        <v>30104.368999999999</v>
      </c>
      <c r="D51" t="str">
        <f t="shared" si="9"/>
        <v>vis</v>
      </c>
      <c r="E51">
        <f>VLOOKUP(C51,Active!C$21:E$973,3,FALSE)</f>
        <v>4004.1430985764819</v>
      </c>
      <c r="F51" s="8" t="s">
        <v>56</v>
      </c>
      <c r="G51" t="str">
        <f t="shared" si="10"/>
        <v>30104.369</v>
      </c>
      <c r="H51" s="20">
        <f t="shared" si="11"/>
        <v>4004</v>
      </c>
      <c r="I51" s="29" t="s">
        <v>236</v>
      </c>
      <c r="J51" s="30" t="s">
        <v>237</v>
      </c>
      <c r="K51" s="29">
        <v>4004</v>
      </c>
      <c r="L51" s="29" t="s">
        <v>238</v>
      </c>
      <c r="M51" s="30" t="s">
        <v>195</v>
      </c>
      <c r="N51" s="30"/>
      <c r="O51" s="31" t="s">
        <v>200</v>
      </c>
      <c r="P51" s="31" t="s">
        <v>239</v>
      </c>
    </row>
    <row r="52" spans="1:16" ht="12.75" customHeight="1" x14ac:dyDescent="0.2">
      <c r="A52" s="20" t="str">
        <f t="shared" si="6"/>
        <v> VSS 1.319 </v>
      </c>
      <c r="B52" s="8" t="str">
        <f t="shared" si="7"/>
        <v>I</v>
      </c>
      <c r="C52" s="20">
        <f t="shared" si="8"/>
        <v>30262.563999999998</v>
      </c>
      <c r="D52" t="str">
        <f t="shared" si="9"/>
        <v>vis</v>
      </c>
      <c r="E52">
        <f>VLOOKUP(C52,Active!C$21:E$973,3,FALSE)</f>
        <v>4238.1546793517009</v>
      </c>
      <c r="F52" s="8" t="s">
        <v>56</v>
      </c>
      <c r="G52" t="str">
        <f t="shared" si="10"/>
        <v>30262.564</v>
      </c>
      <c r="H52" s="20">
        <f t="shared" si="11"/>
        <v>4238</v>
      </c>
      <c r="I52" s="29" t="s">
        <v>240</v>
      </c>
      <c r="J52" s="30" t="s">
        <v>241</v>
      </c>
      <c r="K52" s="29">
        <v>4238</v>
      </c>
      <c r="L52" s="29" t="s">
        <v>242</v>
      </c>
      <c r="M52" s="30" t="s">
        <v>195</v>
      </c>
      <c r="N52" s="30"/>
      <c r="O52" s="31" t="s">
        <v>200</v>
      </c>
      <c r="P52" s="31" t="s">
        <v>239</v>
      </c>
    </row>
    <row r="53" spans="1:16" ht="12.75" customHeight="1" x14ac:dyDescent="0.2">
      <c r="A53" s="20" t="str">
        <f t="shared" si="6"/>
        <v> MVS 408 </v>
      </c>
      <c r="B53" s="8" t="str">
        <f t="shared" si="7"/>
        <v>II</v>
      </c>
      <c r="C53" s="20">
        <f t="shared" si="8"/>
        <v>30267.606</v>
      </c>
      <c r="D53" t="str">
        <f t="shared" si="9"/>
        <v>vis</v>
      </c>
      <c r="E53">
        <f>VLOOKUP(C53,Active!C$21:E$973,3,FALSE)</f>
        <v>4245.6131097083426</v>
      </c>
      <c r="F53" s="8" t="s">
        <v>56</v>
      </c>
      <c r="G53" t="str">
        <f t="shared" si="10"/>
        <v>30267.606</v>
      </c>
      <c r="H53" s="20">
        <f t="shared" si="11"/>
        <v>4245.5</v>
      </c>
      <c r="I53" s="29" t="s">
        <v>243</v>
      </c>
      <c r="J53" s="30" t="s">
        <v>244</v>
      </c>
      <c r="K53" s="29">
        <v>4245.5</v>
      </c>
      <c r="L53" s="29" t="s">
        <v>245</v>
      </c>
      <c r="M53" s="30" t="s">
        <v>195</v>
      </c>
      <c r="N53" s="30"/>
      <c r="O53" s="31" t="s">
        <v>196</v>
      </c>
      <c r="P53" s="31" t="s">
        <v>197</v>
      </c>
    </row>
    <row r="54" spans="1:16" ht="12.75" customHeight="1" x14ac:dyDescent="0.2">
      <c r="A54" s="20" t="str">
        <f t="shared" si="6"/>
        <v> MVS 408 </v>
      </c>
      <c r="B54" s="8" t="str">
        <f t="shared" si="7"/>
        <v>I</v>
      </c>
      <c r="C54" s="20">
        <f t="shared" si="8"/>
        <v>30621.566999999999</v>
      </c>
      <c r="D54" t="str">
        <f t="shared" si="9"/>
        <v>vis</v>
      </c>
      <c r="E54">
        <f>VLOOKUP(C54,Active!C$21:E$973,3,FALSE)</f>
        <v>4769.2135594240563</v>
      </c>
      <c r="F54" s="8" t="s">
        <v>56</v>
      </c>
      <c r="G54" t="str">
        <f t="shared" si="10"/>
        <v>30621.567</v>
      </c>
      <c r="H54" s="20">
        <f t="shared" si="11"/>
        <v>4769</v>
      </c>
      <c r="I54" s="29" t="s">
        <v>246</v>
      </c>
      <c r="J54" s="30" t="s">
        <v>247</v>
      </c>
      <c r="K54" s="29">
        <v>4769</v>
      </c>
      <c r="L54" s="29" t="s">
        <v>248</v>
      </c>
      <c r="M54" s="30" t="s">
        <v>195</v>
      </c>
      <c r="N54" s="30"/>
      <c r="O54" s="31" t="s">
        <v>196</v>
      </c>
      <c r="P54" s="31" t="s">
        <v>197</v>
      </c>
    </row>
    <row r="55" spans="1:16" ht="12.75" customHeight="1" x14ac:dyDescent="0.2">
      <c r="A55" s="20" t="str">
        <f t="shared" si="6"/>
        <v> VSS 1.319 </v>
      </c>
      <c r="B55" s="8" t="str">
        <f t="shared" si="7"/>
        <v>I</v>
      </c>
      <c r="C55" s="20">
        <f t="shared" si="8"/>
        <v>30621.566999999999</v>
      </c>
      <c r="D55" t="str">
        <f t="shared" si="9"/>
        <v>vis</v>
      </c>
      <c r="E55">
        <f>VLOOKUP(C55,Active!C$21:E$973,3,FALSE)</f>
        <v>4769.2135594240563</v>
      </c>
      <c r="F55" s="8" t="s">
        <v>56</v>
      </c>
      <c r="G55" t="str">
        <f t="shared" si="10"/>
        <v>30621.567</v>
      </c>
      <c r="H55" s="20">
        <f t="shared" si="11"/>
        <v>4769</v>
      </c>
      <c r="I55" s="29" t="s">
        <v>246</v>
      </c>
      <c r="J55" s="30" t="s">
        <v>247</v>
      </c>
      <c r="K55" s="29">
        <v>4769</v>
      </c>
      <c r="L55" s="29" t="s">
        <v>248</v>
      </c>
      <c r="M55" s="30" t="s">
        <v>195</v>
      </c>
      <c r="N55" s="30"/>
      <c r="O55" s="31" t="s">
        <v>200</v>
      </c>
      <c r="P55" s="31" t="s">
        <v>239</v>
      </c>
    </row>
    <row r="56" spans="1:16" ht="12.75" customHeight="1" x14ac:dyDescent="0.2">
      <c r="A56" s="20" t="str">
        <f t="shared" si="6"/>
        <v> MVS 408 </v>
      </c>
      <c r="B56" s="8" t="str">
        <f t="shared" si="7"/>
        <v>II</v>
      </c>
      <c r="C56" s="20">
        <f t="shared" si="8"/>
        <v>30622.546999999999</v>
      </c>
      <c r="D56" t="str">
        <f t="shared" si="9"/>
        <v>vis</v>
      </c>
      <c r="E56">
        <f>VLOOKUP(C56,Active!C$21:E$973,3,FALSE)</f>
        <v>4770.6632345032913</v>
      </c>
      <c r="F56" s="8" t="s">
        <v>56</v>
      </c>
      <c r="G56" t="str">
        <f t="shared" si="10"/>
        <v>30622.547</v>
      </c>
      <c r="H56" s="20">
        <f t="shared" si="11"/>
        <v>4770.5</v>
      </c>
      <c r="I56" s="29" t="s">
        <v>249</v>
      </c>
      <c r="J56" s="30" t="s">
        <v>250</v>
      </c>
      <c r="K56" s="29">
        <v>4770.5</v>
      </c>
      <c r="L56" s="29" t="s">
        <v>228</v>
      </c>
      <c r="M56" s="30" t="s">
        <v>195</v>
      </c>
      <c r="N56" s="30"/>
      <c r="O56" s="31" t="s">
        <v>196</v>
      </c>
      <c r="P56" s="31" t="s">
        <v>197</v>
      </c>
    </row>
    <row r="57" spans="1:16" ht="12.75" customHeight="1" x14ac:dyDescent="0.2">
      <c r="A57" s="20" t="str">
        <f t="shared" si="6"/>
        <v> VSS 1.319 </v>
      </c>
      <c r="B57" s="8" t="str">
        <f t="shared" si="7"/>
        <v>II</v>
      </c>
      <c r="C57" s="20">
        <f t="shared" si="8"/>
        <v>30637.383999999998</v>
      </c>
      <c r="D57" t="str">
        <f t="shared" si="9"/>
        <v>vis</v>
      </c>
      <c r="E57">
        <f>VLOOKUP(C57,Active!C$21:E$973,3,FALSE)</f>
        <v>4792.6110193508648</v>
      </c>
      <c r="F57" s="8" t="s">
        <v>56</v>
      </c>
      <c r="G57" t="str">
        <f t="shared" si="10"/>
        <v>30637.384</v>
      </c>
      <c r="H57" s="20">
        <f t="shared" si="11"/>
        <v>4792.5</v>
      </c>
      <c r="I57" s="29" t="s">
        <v>251</v>
      </c>
      <c r="J57" s="30" t="s">
        <v>252</v>
      </c>
      <c r="K57" s="29">
        <v>4792.5</v>
      </c>
      <c r="L57" s="29" t="s">
        <v>253</v>
      </c>
      <c r="M57" s="30" t="s">
        <v>195</v>
      </c>
      <c r="N57" s="30"/>
      <c r="O57" s="31" t="s">
        <v>200</v>
      </c>
      <c r="P57" s="31" t="s">
        <v>239</v>
      </c>
    </row>
    <row r="58" spans="1:16" ht="12.75" customHeight="1" x14ac:dyDescent="0.2">
      <c r="A58" s="20" t="str">
        <f t="shared" si="6"/>
        <v> VSS 1.319 </v>
      </c>
      <c r="B58" s="8" t="str">
        <f t="shared" si="7"/>
        <v>II</v>
      </c>
      <c r="C58" s="20">
        <f t="shared" si="8"/>
        <v>31000.435000000001</v>
      </c>
      <c r="D58" t="str">
        <f t="shared" si="9"/>
        <v>vis</v>
      </c>
      <c r="E58">
        <f>VLOOKUP(C58,Active!C$21:E$973,3,FALSE)</f>
        <v>5329.6579450566387</v>
      </c>
      <c r="F58" s="8" t="s">
        <v>56</v>
      </c>
      <c r="G58" t="str">
        <f t="shared" si="10"/>
        <v>31000.435</v>
      </c>
      <c r="H58" s="20">
        <f t="shared" si="11"/>
        <v>5329.5</v>
      </c>
      <c r="I58" s="29" t="s">
        <v>254</v>
      </c>
      <c r="J58" s="30" t="s">
        <v>255</v>
      </c>
      <c r="K58" s="29">
        <v>5329.5</v>
      </c>
      <c r="L58" s="29" t="s">
        <v>256</v>
      </c>
      <c r="M58" s="30" t="s">
        <v>195</v>
      </c>
      <c r="N58" s="30"/>
      <c r="O58" s="31" t="s">
        <v>200</v>
      </c>
      <c r="P58" s="31" t="s">
        <v>239</v>
      </c>
    </row>
    <row r="59" spans="1:16" ht="12.75" customHeight="1" x14ac:dyDescent="0.2">
      <c r="A59" s="20" t="str">
        <f t="shared" si="6"/>
        <v> VSS 1.319 </v>
      </c>
      <c r="B59" s="8" t="str">
        <f t="shared" si="7"/>
        <v>II</v>
      </c>
      <c r="C59" s="20">
        <f t="shared" si="8"/>
        <v>31027.477999999999</v>
      </c>
      <c r="D59" t="str">
        <f t="shared" si="9"/>
        <v>vis</v>
      </c>
      <c r="E59">
        <f>VLOOKUP(C59,Active!C$21:E$973,3,FALSE)</f>
        <v>5369.6615809421201</v>
      </c>
      <c r="F59" s="8" t="s">
        <v>56</v>
      </c>
      <c r="G59" t="str">
        <f t="shared" si="10"/>
        <v>31027.478</v>
      </c>
      <c r="H59" s="20">
        <f t="shared" si="11"/>
        <v>5369.5</v>
      </c>
      <c r="I59" s="29" t="s">
        <v>257</v>
      </c>
      <c r="J59" s="30" t="s">
        <v>258</v>
      </c>
      <c r="K59" s="29">
        <v>5369.5</v>
      </c>
      <c r="L59" s="29" t="s">
        <v>259</v>
      </c>
      <c r="M59" s="30" t="s">
        <v>195</v>
      </c>
      <c r="N59" s="30"/>
      <c r="O59" s="31" t="s">
        <v>200</v>
      </c>
      <c r="P59" s="31" t="s">
        <v>239</v>
      </c>
    </row>
    <row r="60" spans="1:16" ht="12.75" customHeight="1" x14ac:dyDescent="0.2">
      <c r="A60" s="20" t="str">
        <f t="shared" si="6"/>
        <v> VSS 1.319 </v>
      </c>
      <c r="B60" s="8" t="str">
        <f t="shared" si="7"/>
        <v>II</v>
      </c>
      <c r="C60" s="20">
        <f t="shared" si="8"/>
        <v>31144.488000000001</v>
      </c>
      <c r="D60" t="str">
        <f t="shared" si="9"/>
        <v>vis</v>
      </c>
      <c r="E60">
        <f>VLOOKUP(C60,Active!C$21:E$973,3,FALSE)</f>
        <v>5542.7498268823138</v>
      </c>
      <c r="F60" s="8" t="s">
        <v>56</v>
      </c>
      <c r="G60" t="str">
        <f t="shared" si="10"/>
        <v>31144.488</v>
      </c>
      <c r="H60" s="20">
        <f t="shared" si="11"/>
        <v>5542.5</v>
      </c>
      <c r="I60" s="29" t="s">
        <v>260</v>
      </c>
      <c r="J60" s="30" t="s">
        <v>261</v>
      </c>
      <c r="K60" s="29">
        <v>5542.5</v>
      </c>
      <c r="L60" s="29" t="s">
        <v>262</v>
      </c>
      <c r="M60" s="30" t="s">
        <v>195</v>
      </c>
      <c r="N60" s="30"/>
      <c r="O60" s="31" t="s">
        <v>200</v>
      </c>
      <c r="P60" s="31" t="s">
        <v>239</v>
      </c>
    </row>
    <row r="61" spans="1:16" ht="12.75" customHeight="1" x14ac:dyDescent="0.2">
      <c r="A61" s="20" t="str">
        <f t="shared" si="6"/>
        <v> VSS 1.319 </v>
      </c>
      <c r="B61" s="8" t="str">
        <f t="shared" si="7"/>
        <v>II</v>
      </c>
      <c r="C61" s="20">
        <f t="shared" si="8"/>
        <v>31448.665000000001</v>
      </c>
      <c r="D61" t="str">
        <f t="shared" si="9"/>
        <v>vis</v>
      </c>
      <c r="E61">
        <f>VLOOKUP(C61,Active!C$21:E$973,3,FALSE)</f>
        <v>5992.7067825728464</v>
      </c>
      <c r="F61" s="8" t="s">
        <v>56</v>
      </c>
      <c r="G61" t="str">
        <f t="shared" si="10"/>
        <v>31448.665</v>
      </c>
      <c r="H61" s="20">
        <f t="shared" si="11"/>
        <v>5992.5</v>
      </c>
      <c r="I61" s="29" t="s">
        <v>263</v>
      </c>
      <c r="J61" s="30" t="s">
        <v>264</v>
      </c>
      <c r="K61" s="29">
        <v>5992.5</v>
      </c>
      <c r="L61" s="29" t="s">
        <v>265</v>
      </c>
      <c r="M61" s="30" t="s">
        <v>195</v>
      </c>
      <c r="N61" s="30"/>
      <c r="O61" s="31" t="s">
        <v>200</v>
      </c>
      <c r="P61" s="31" t="s">
        <v>239</v>
      </c>
    </row>
    <row r="62" spans="1:16" ht="12.75" customHeight="1" x14ac:dyDescent="0.2">
      <c r="A62" s="20" t="str">
        <f t="shared" si="6"/>
        <v> VSS 1.319 </v>
      </c>
      <c r="B62" s="8" t="str">
        <f t="shared" si="7"/>
        <v>II</v>
      </c>
      <c r="C62" s="20">
        <f t="shared" si="8"/>
        <v>31450.674999999999</v>
      </c>
      <c r="D62" t="str">
        <f t="shared" si="9"/>
        <v>vis</v>
      </c>
      <c r="E62">
        <f>VLOOKUP(C62,Active!C$21:E$973,3,FALSE)</f>
        <v>5995.6800957455625</v>
      </c>
      <c r="F62" s="8" t="s">
        <v>56</v>
      </c>
      <c r="G62" t="str">
        <f t="shared" si="10"/>
        <v>31450.675</v>
      </c>
      <c r="H62" s="20">
        <f t="shared" si="11"/>
        <v>5995.5</v>
      </c>
      <c r="I62" s="29" t="s">
        <v>266</v>
      </c>
      <c r="J62" s="30" t="s">
        <v>267</v>
      </c>
      <c r="K62" s="29">
        <v>5995.5</v>
      </c>
      <c r="L62" s="29" t="s">
        <v>256</v>
      </c>
      <c r="M62" s="30" t="s">
        <v>195</v>
      </c>
      <c r="N62" s="30"/>
      <c r="O62" s="31" t="s">
        <v>200</v>
      </c>
      <c r="P62" s="31" t="s">
        <v>239</v>
      </c>
    </row>
    <row r="63" spans="1:16" ht="12.75" customHeight="1" x14ac:dyDescent="0.2">
      <c r="A63" s="20" t="str">
        <f t="shared" si="6"/>
        <v> VSS 1.319 </v>
      </c>
      <c r="B63" s="8" t="str">
        <f t="shared" si="7"/>
        <v>II</v>
      </c>
      <c r="C63" s="20">
        <f t="shared" si="8"/>
        <v>31530.421999999999</v>
      </c>
      <c r="D63" t="str">
        <f t="shared" si="9"/>
        <v>vis</v>
      </c>
      <c r="E63">
        <f>VLOOKUP(C63,Active!C$21:E$973,3,FALSE)</f>
        <v>6113.6466656882367</v>
      </c>
      <c r="F63" s="8" t="s">
        <v>56</v>
      </c>
      <c r="G63" t="str">
        <f t="shared" si="10"/>
        <v>31530.422</v>
      </c>
      <c r="H63" s="20">
        <f t="shared" si="11"/>
        <v>6113.5</v>
      </c>
      <c r="I63" s="29" t="s">
        <v>268</v>
      </c>
      <c r="J63" s="30" t="s">
        <v>269</v>
      </c>
      <c r="K63" s="29">
        <v>6113.5</v>
      </c>
      <c r="L63" s="29" t="s">
        <v>270</v>
      </c>
      <c r="M63" s="30" t="s">
        <v>195</v>
      </c>
      <c r="N63" s="30"/>
      <c r="O63" s="31" t="s">
        <v>200</v>
      </c>
      <c r="P63" s="31" t="s">
        <v>239</v>
      </c>
    </row>
    <row r="64" spans="1:16" ht="12.75" customHeight="1" x14ac:dyDescent="0.2">
      <c r="A64" s="20" t="str">
        <f t="shared" si="6"/>
        <v> MVS 408 </v>
      </c>
      <c r="B64" s="8" t="str">
        <f t="shared" si="7"/>
        <v>I</v>
      </c>
      <c r="C64" s="20">
        <f t="shared" si="8"/>
        <v>31710.612000000001</v>
      </c>
      <c r="D64" t="str">
        <f t="shared" si="9"/>
        <v>vis</v>
      </c>
      <c r="E64">
        <f>VLOOKUP(C64,Active!C$21:E$973,3,FALSE)</f>
        <v>6380.1945764305947</v>
      </c>
      <c r="F64" s="8" t="s">
        <v>56</v>
      </c>
      <c r="G64" t="str">
        <f t="shared" si="10"/>
        <v>31710.612</v>
      </c>
      <c r="H64" s="20">
        <f t="shared" si="11"/>
        <v>6380</v>
      </c>
      <c r="I64" s="29" t="s">
        <v>271</v>
      </c>
      <c r="J64" s="30" t="s">
        <v>272</v>
      </c>
      <c r="K64" s="29">
        <v>6380</v>
      </c>
      <c r="L64" s="29" t="s">
        <v>273</v>
      </c>
      <c r="M64" s="30" t="s">
        <v>195</v>
      </c>
      <c r="N64" s="30"/>
      <c r="O64" s="31" t="s">
        <v>196</v>
      </c>
      <c r="P64" s="31" t="s">
        <v>197</v>
      </c>
    </row>
    <row r="65" spans="1:16" ht="12.75" customHeight="1" x14ac:dyDescent="0.2">
      <c r="A65" s="20" t="str">
        <f t="shared" si="6"/>
        <v> MVS 408 </v>
      </c>
      <c r="B65" s="8" t="str">
        <f t="shared" si="7"/>
        <v>II</v>
      </c>
      <c r="C65" s="20">
        <f t="shared" si="8"/>
        <v>32838.574000000001</v>
      </c>
      <c r="D65" t="str">
        <f t="shared" si="9"/>
        <v>vis</v>
      </c>
      <c r="E65">
        <f>VLOOKUP(C65,Active!C$21:E$973,3,FALSE)</f>
        <v>8048.7439659459269</v>
      </c>
      <c r="F65" s="8" t="s">
        <v>56</v>
      </c>
      <c r="G65" t="str">
        <f t="shared" si="10"/>
        <v>32838.574</v>
      </c>
      <c r="H65" s="20">
        <f t="shared" si="11"/>
        <v>8048.5</v>
      </c>
      <c r="I65" s="29" t="s">
        <v>274</v>
      </c>
      <c r="J65" s="30" t="s">
        <v>275</v>
      </c>
      <c r="K65" s="29">
        <v>8048.5</v>
      </c>
      <c r="L65" s="29" t="s">
        <v>245</v>
      </c>
      <c r="M65" s="30" t="s">
        <v>195</v>
      </c>
      <c r="N65" s="30"/>
      <c r="O65" s="31" t="s">
        <v>196</v>
      </c>
      <c r="P65" s="31" t="s">
        <v>197</v>
      </c>
    </row>
    <row r="66" spans="1:16" ht="12.75" customHeight="1" x14ac:dyDescent="0.2">
      <c r="A66" s="20" t="str">
        <f t="shared" si="6"/>
        <v> MVS 408 </v>
      </c>
      <c r="B66" s="8" t="str">
        <f t="shared" si="7"/>
        <v>II</v>
      </c>
      <c r="C66" s="20">
        <f t="shared" si="8"/>
        <v>32882.525000000001</v>
      </c>
      <c r="D66" t="str">
        <f t="shared" si="9"/>
        <v>vis</v>
      </c>
      <c r="E66">
        <f>VLOOKUP(C66,Active!C$21:E$973,3,FALSE)</f>
        <v>8113.7589347290859</v>
      </c>
      <c r="F66" s="8" t="s">
        <v>56</v>
      </c>
      <c r="G66" t="str">
        <f t="shared" si="10"/>
        <v>32882.525</v>
      </c>
      <c r="H66" s="20">
        <f t="shared" si="11"/>
        <v>8113.5</v>
      </c>
      <c r="I66" s="29" t="s">
        <v>276</v>
      </c>
      <c r="J66" s="30" t="s">
        <v>277</v>
      </c>
      <c r="K66" s="29">
        <v>8113.5</v>
      </c>
      <c r="L66" s="29" t="s">
        <v>278</v>
      </c>
      <c r="M66" s="30" t="s">
        <v>195</v>
      </c>
      <c r="N66" s="30"/>
      <c r="O66" s="31" t="s">
        <v>196</v>
      </c>
      <c r="P66" s="31" t="s">
        <v>197</v>
      </c>
    </row>
    <row r="67" spans="1:16" ht="12.75" customHeight="1" x14ac:dyDescent="0.2">
      <c r="A67" s="20" t="str">
        <f t="shared" si="6"/>
        <v> MVS 408 </v>
      </c>
      <c r="B67" s="8" t="str">
        <f t="shared" si="7"/>
        <v>I</v>
      </c>
      <c r="C67" s="20">
        <f t="shared" si="8"/>
        <v>34451.328000000001</v>
      </c>
      <c r="D67" t="str">
        <f t="shared" si="9"/>
        <v>vis</v>
      </c>
      <c r="E67">
        <f>VLOOKUP(C67,Active!C$21:E$973,3,FALSE)</f>
        <v>10434.426907515246</v>
      </c>
      <c r="F67" s="8" t="s">
        <v>56</v>
      </c>
      <c r="G67" t="str">
        <f t="shared" si="10"/>
        <v>34451.328</v>
      </c>
      <c r="H67" s="20">
        <f t="shared" si="11"/>
        <v>10434</v>
      </c>
      <c r="I67" s="29" t="s">
        <v>279</v>
      </c>
      <c r="J67" s="30" t="s">
        <v>280</v>
      </c>
      <c r="K67" s="29">
        <v>10434</v>
      </c>
      <c r="L67" s="29" t="s">
        <v>281</v>
      </c>
      <c r="M67" s="30" t="s">
        <v>195</v>
      </c>
      <c r="N67" s="30"/>
      <c r="O67" s="31" t="s">
        <v>196</v>
      </c>
      <c r="P67" s="31" t="s">
        <v>197</v>
      </c>
    </row>
    <row r="68" spans="1:16" ht="12.75" customHeight="1" x14ac:dyDescent="0.2">
      <c r="A68" s="20" t="str">
        <f t="shared" si="6"/>
        <v> MVS 408 </v>
      </c>
      <c r="B68" s="8" t="str">
        <f t="shared" si="7"/>
        <v>I</v>
      </c>
      <c r="C68" s="20">
        <f t="shared" si="8"/>
        <v>34661.481</v>
      </c>
      <c r="D68" t="str">
        <f t="shared" si="9"/>
        <v>vis</v>
      </c>
      <c r="E68">
        <f>VLOOKUP(C68,Active!C$21:E$973,3,FALSE)</f>
        <v>10745.297894175092</v>
      </c>
      <c r="F68" s="8" t="s">
        <v>56</v>
      </c>
      <c r="G68" t="str">
        <f t="shared" si="10"/>
        <v>34661.481</v>
      </c>
      <c r="H68" s="20">
        <f t="shared" si="11"/>
        <v>10745</v>
      </c>
      <c r="I68" s="29" t="s">
        <v>282</v>
      </c>
      <c r="J68" s="30" t="s">
        <v>283</v>
      </c>
      <c r="K68" s="29">
        <v>10745</v>
      </c>
      <c r="L68" s="29" t="s">
        <v>284</v>
      </c>
      <c r="M68" s="30" t="s">
        <v>195</v>
      </c>
      <c r="N68" s="30"/>
      <c r="O68" s="31" t="s">
        <v>196</v>
      </c>
      <c r="P68" s="31" t="s">
        <v>197</v>
      </c>
    </row>
    <row r="69" spans="1:16" ht="12.75" customHeight="1" x14ac:dyDescent="0.2">
      <c r="A69" s="20" t="str">
        <f t="shared" si="6"/>
        <v> MVS 408 </v>
      </c>
      <c r="B69" s="8" t="str">
        <f t="shared" si="7"/>
        <v>I</v>
      </c>
      <c r="C69" s="20">
        <f t="shared" si="8"/>
        <v>34766.347999999998</v>
      </c>
      <c r="D69" t="str">
        <f t="shared" si="9"/>
        <v>vis</v>
      </c>
      <c r="E69">
        <f>VLOOKUP(C69,Active!C$21:E$973,3,FALSE)</f>
        <v>10900.42348247532</v>
      </c>
      <c r="F69" s="8" t="s">
        <v>56</v>
      </c>
      <c r="G69" t="str">
        <f t="shared" si="10"/>
        <v>34766.348</v>
      </c>
      <c r="H69" s="20">
        <f t="shared" si="11"/>
        <v>10900</v>
      </c>
      <c r="I69" s="29" t="s">
        <v>285</v>
      </c>
      <c r="J69" s="30" t="s">
        <v>286</v>
      </c>
      <c r="K69" s="29">
        <v>10900</v>
      </c>
      <c r="L69" s="29" t="s">
        <v>287</v>
      </c>
      <c r="M69" s="30" t="s">
        <v>195</v>
      </c>
      <c r="N69" s="30"/>
      <c r="O69" s="31" t="s">
        <v>196</v>
      </c>
      <c r="P69" s="31" t="s">
        <v>197</v>
      </c>
    </row>
    <row r="70" spans="1:16" ht="12.75" customHeight="1" x14ac:dyDescent="0.2">
      <c r="A70" s="20" t="str">
        <f t="shared" si="6"/>
        <v> MVS 408 </v>
      </c>
      <c r="B70" s="8" t="str">
        <f t="shared" si="7"/>
        <v>I</v>
      </c>
      <c r="C70" s="20">
        <f t="shared" si="8"/>
        <v>34770.396999999997</v>
      </c>
      <c r="D70" t="str">
        <f t="shared" si="9"/>
        <v>vis</v>
      </c>
      <c r="E70">
        <f>VLOOKUP(C70,Active!C$21:E$973,3,FALSE)</f>
        <v>10906.413007369018</v>
      </c>
      <c r="F70" s="8" t="s">
        <v>56</v>
      </c>
      <c r="G70" t="str">
        <f t="shared" si="10"/>
        <v>34770.397</v>
      </c>
      <c r="H70" s="20">
        <f t="shared" si="11"/>
        <v>10906</v>
      </c>
      <c r="I70" s="29" t="s">
        <v>288</v>
      </c>
      <c r="J70" s="30" t="s">
        <v>289</v>
      </c>
      <c r="K70" s="29">
        <v>10906</v>
      </c>
      <c r="L70" s="29" t="s">
        <v>290</v>
      </c>
      <c r="M70" s="30" t="s">
        <v>195</v>
      </c>
      <c r="N70" s="30"/>
      <c r="O70" s="31" t="s">
        <v>196</v>
      </c>
      <c r="P70" s="31" t="s">
        <v>197</v>
      </c>
    </row>
    <row r="71" spans="1:16" ht="12.75" customHeight="1" x14ac:dyDescent="0.2">
      <c r="A71" s="20" t="str">
        <f t="shared" si="6"/>
        <v> MVS 408 </v>
      </c>
      <c r="B71" s="8" t="str">
        <f t="shared" si="7"/>
        <v>II</v>
      </c>
      <c r="C71" s="20">
        <f t="shared" si="8"/>
        <v>35900.343999999997</v>
      </c>
      <c r="D71" t="str">
        <f t="shared" si="9"/>
        <v>vis</v>
      </c>
      <c r="E71">
        <f>VLOOKUP(C71,Active!C$21:E$973,3,FALSE)</f>
        <v>12577.898728549946</v>
      </c>
      <c r="F71" s="8" t="s">
        <v>56</v>
      </c>
      <c r="G71" t="str">
        <f t="shared" si="10"/>
        <v>35900.344</v>
      </c>
      <c r="H71" s="20">
        <f t="shared" si="11"/>
        <v>12577.5</v>
      </c>
      <c r="I71" s="29" t="s">
        <v>291</v>
      </c>
      <c r="J71" s="30" t="s">
        <v>292</v>
      </c>
      <c r="K71" s="29">
        <v>12577.5</v>
      </c>
      <c r="L71" s="29" t="s">
        <v>293</v>
      </c>
      <c r="M71" s="30" t="s">
        <v>195</v>
      </c>
      <c r="N71" s="30"/>
      <c r="O71" s="31" t="s">
        <v>196</v>
      </c>
      <c r="P71" s="31" t="s">
        <v>197</v>
      </c>
    </row>
    <row r="72" spans="1:16" ht="12.75" customHeight="1" x14ac:dyDescent="0.2">
      <c r="A72" s="20" t="str">
        <f t="shared" si="6"/>
        <v> MVS 408 </v>
      </c>
      <c r="B72" s="8" t="str">
        <f t="shared" si="7"/>
        <v>II</v>
      </c>
      <c r="C72" s="20">
        <f t="shared" si="8"/>
        <v>36132.275000000001</v>
      </c>
      <c r="D72" t="str">
        <f t="shared" si="9"/>
        <v>vis</v>
      </c>
      <c r="E72">
        <f>VLOOKUP(C72,Active!C$21:E$973,3,FALSE)</f>
        <v>12920.985045695104</v>
      </c>
      <c r="F72" s="8" t="s">
        <v>56</v>
      </c>
      <c r="G72" t="str">
        <f t="shared" si="10"/>
        <v>36132.275</v>
      </c>
      <c r="H72" s="20">
        <f t="shared" si="11"/>
        <v>12920.5</v>
      </c>
      <c r="I72" s="29" t="s">
        <v>294</v>
      </c>
      <c r="J72" s="30" t="s">
        <v>295</v>
      </c>
      <c r="K72" s="29">
        <v>12920.5</v>
      </c>
      <c r="L72" s="29" t="s">
        <v>213</v>
      </c>
      <c r="M72" s="30" t="s">
        <v>296</v>
      </c>
      <c r="N72" s="30"/>
      <c r="O72" s="31" t="s">
        <v>196</v>
      </c>
      <c r="P72" s="31" t="s">
        <v>197</v>
      </c>
    </row>
    <row r="73" spans="1:16" ht="12.75" customHeight="1" x14ac:dyDescent="0.2">
      <c r="A73" s="20" t="str">
        <f t="shared" si="6"/>
        <v> MVS 408 </v>
      </c>
      <c r="B73" s="8" t="str">
        <f t="shared" si="7"/>
        <v>I</v>
      </c>
      <c r="C73" s="20">
        <f t="shared" si="8"/>
        <v>36132.587</v>
      </c>
      <c r="D73" t="str">
        <f t="shared" si="9"/>
        <v>vis</v>
      </c>
      <c r="E73">
        <f>VLOOKUP(C73,Active!C$21:E$973,3,FALSE)</f>
        <v>12921.446574904003</v>
      </c>
      <c r="F73" s="8" t="s">
        <v>56</v>
      </c>
      <c r="G73" t="str">
        <f t="shared" si="10"/>
        <v>36132.587</v>
      </c>
      <c r="H73" s="20">
        <f t="shared" si="11"/>
        <v>12921</v>
      </c>
      <c r="I73" s="29" t="s">
        <v>297</v>
      </c>
      <c r="J73" s="30" t="s">
        <v>298</v>
      </c>
      <c r="K73" s="29">
        <v>12921</v>
      </c>
      <c r="L73" s="29" t="s">
        <v>299</v>
      </c>
      <c r="M73" s="30" t="s">
        <v>296</v>
      </c>
      <c r="N73" s="30"/>
      <c r="O73" s="31" t="s">
        <v>196</v>
      </c>
      <c r="P73" s="31" t="s">
        <v>197</v>
      </c>
    </row>
    <row r="74" spans="1:16" ht="12.75" customHeight="1" x14ac:dyDescent="0.2">
      <c r="A74" s="20" t="str">
        <f t="shared" si="6"/>
        <v> MVS 408 </v>
      </c>
      <c r="B74" s="8" t="str">
        <f t="shared" si="7"/>
        <v>I</v>
      </c>
      <c r="C74" s="20">
        <f t="shared" si="8"/>
        <v>36137.32</v>
      </c>
      <c r="D74" t="str">
        <f t="shared" si="9"/>
        <v>vis</v>
      </c>
      <c r="E74">
        <f>VLOOKUP(C74,Active!C$21:E$973,3,FALSE)</f>
        <v>12928.447913832597</v>
      </c>
      <c r="F74" s="8" t="s">
        <v>56</v>
      </c>
      <c r="G74" t="str">
        <f t="shared" si="10"/>
        <v>36137.320</v>
      </c>
      <c r="H74" s="20">
        <f t="shared" si="11"/>
        <v>12928</v>
      </c>
      <c r="I74" s="29" t="s">
        <v>300</v>
      </c>
      <c r="J74" s="30" t="s">
        <v>301</v>
      </c>
      <c r="K74" s="29">
        <v>12928</v>
      </c>
      <c r="L74" s="29" t="s">
        <v>302</v>
      </c>
      <c r="M74" s="30" t="s">
        <v>296</v>
      </c>
      <c r="N74" s="30"/>
      <c r="O74" s="31" t="s">
        <v>196</v>
      </c>
      <c r="P74" s="31" t="s">
        <v>197</v>
      </c>
    </row>
    <row r="75" spans="1:16" ht="12.75" customHeight="1" x14ac:dyDescent="0.2">
      <c r="A75" s="20" t="str">
        <f t="shared" ref="A75:A94" si="12">P75</f>
        <v> MVS 408 </v>
      </c>
      <c r="B75" s="8" t="str">
        <f t="shared" ref="B75:B94" si="13">IF(H75=INT(H75),"I","II")</f>
        <v>II</v>
      </c>
      <c r="C75" s="20">
        <f t="shared" ref="C75:C94" si="14">1*G75</f>
        <v>36137.65</v>
      </c>
      <c r="D75" t="str">
        <f t="shared" ref="D75:D94" si="15">VLOOKUP(F75,I$1:J$5,2,FALSE)</f>
        <v>vis</v>
      </c>
      <c r="E75">
        <f>VLOOKUP(C75,Active!C$21:E$973,3,FALSE)</f>
        <v>12928.936069726629</v>
      </c>
      <c r="F75" s="8" t="s">
        <v>56</v>
      </c>
      <c r="G75" t="str">
        <f t="shared" ref="G75:G94" si="16">MID(I75,3,LEN(I75)-3)</f>
        <v>36137.650</v>
      </c>
      <c r="H75" s="20">
        <f t="shared" ref="H75:H94" si="17">1*K75</f>
        <v>12928.5</v>
      </c>
      <c r="I75" s="29" t="s">
        <v>303</v>
      </c>
      <c r="J75" s="30" t="s">
        <v>304</v>
      </c>
      <c r="K75" s="29">
        <v>12928.5</v>
      </c>
      <c r="L75" s="29" t="s">
        <v>305</v>
      </c>
      <c r="M75" s="30" t="s">
        <v>296</v>
      </c>
      <c r="N75" s="30"/>
      <c r="O75" s="31" t="s">
        <v>196</v>
      </c>
      <c r="P75" s="31" t="s">
        <v>197</v>
      </c>
    </row>
    <row r="76" spans="1:16" ht="12.75" customHeight="1" x14ac:dyDescent="0.2">
      <c r="A76" s="20" t="str">
        <f t="shared" si="12"/>
        <v> MVS 408 </v>
      </c>
      <c r="B76" s="8" t="str">
        <f t="shared" si="13"/>
        <v>II</v>
      </c>
      <c r="C76" s="20">
        <f t="shared" si="14"/>
        <v>36138.339999999997</v>
      </c>
      <c r="D76" t="str">
        <f t="shared" si="15"/>
        <v>vis</v>
      </c>
      <c r="E76">
        <f>VLOOKUP(C76,Active!C$21:E$973,3,FALSE)</f>
        <v>12929.956759323226</v>
      </c>
      <c r="F76" s="8" t="s">
        <v>56</v>
      </c>
      <c r="G76" t="str">
        <f t="shared" si="16"/>
        <v>36138.340</v>
      </c>
      <c r="H76" s="20">
        <f t="shared" si="17"/>
        <v>12929.5</v>
      </c>
      <c r="I76" s="29" t="s">
        <v>306</v>
      </c>
      <c r="J76" s="30" t="s">
        <v>307</v>
      </c>
      <c r="K76" s="29">
        <v>12929.5</v>
      </c>
      <c r="L76" s="29" t="s">
        <v>225</v>
      </c>
      <c r="M76" s="30" t="s">
        <v>296</v>
      </c>
      <c r="N76" s="30"/>
      <c r="O76" s="31" t="s">
        <v>196</v>
      </c>
      <c r="P76" s="31" t="s">
        <v>197</v>
      </c>
    </row>
    <row r="77" spans="1:16" ht="12.75" customHeight="1" x14ac:dyDescent="0.2">
      <c r="A77" s="20" t="str">
        <f t="shared" si="12"/>
        <v> MVS 408 </v>
      </c>
      <c r="B77" s="8" t="str">
        <f t="shared" si="13"/>
        <v>I</v>
      </c>
      <c r="C77" s="20">
        <f t="shared" si="14"/>
        <v>36138.665000000001</v>
      </c>
      <c r="D77" t="str">
        <f t="shared" si="15"/>
        <v>vis</v>
      </c>
      <c r="E77">
        <f>VLOOKUP(C77,Active!C$21:E$973,3,FALSE)</f>
        <v>12930.437518915836</v>
      </c>
      <c r="F77" s="8" t="s">
        <v>56</v>
      </c>
      <c r="G77" t="str">
        <f t="shared" si="16"/>
        <v>36138.665</v>
      </c>
      <c r="H77" s="20">
        <f t="shared" si="17"/>
        <v>12930</v>
      </c>
      <c r="I77" s="29" t="s">
        <v>308</v>
      </c>
      <c r="J77" s="30" t="s">
        <v>309</v>
      </c>
      <c r="K77" s="29">
        <v>12930</v>
      </c>
      <c r="L77" s="29" t="s">
        <v>310</v>
      </c>
      <c r="M77" s="30" t="s">
        <v>296</v>
      </c>
      <c r="N77" s="30"/>
      <c r="O77" s="31" t="s">
        <v>196</v>
      </c>
      <c r="P77" s="31" t="s">
        <v>197</v>
      </c>
    </row>
    <row r="78" spans="1:16" ht="12.75" customHeight="1" x14ac:dyDescent="0.2">
      <c r="A78" s="20" t="str">
        <f t="shared" si="12"/>
        <v> MVS 408 </v>
      </c>
      <c r="B78" s="8" t="str">
        <f t="shared" si="13"/>
        <v>II</v>
      </c>
      <c r="C78" s="20">
        <f t="shared" si="14"/>
        <v>36159.31</v>
      </c>
      <c r="D78" t="str">
        <f t="shared" si="15"/>
        <v>vis</v>
      </c>
      <c r="E78">
        <f>VLOOKUP(C78,Active!C$21:E$973,3,FALSE)</f>
        <v>12960.976847498305</v>
      </c>
      <c r="F78" s="8" t="s">
        <v>56</v>
      </c>
      <c r="G78" t="str">
        <f t="shared" si="16"/>
        <v>36159.310</v>
      </c>
      <c r="H78" s="20">
        <f t="shared" si="17"/>
        <v>12960.5</v>
      </c>
      <c r="I78" s="29" t="s">
        <v>311</v>
      </c>
      <c r="J78" s="30" t="s">
        <v>312</v>
      </c>
      <c r="K78" s="29">
        <v>12960.5</v>
      </c>
      <c r="L78" s="29" t="s">
        <v>194</v>
      </c>
      <c r="M78" s="30" t="s">
        <v>296</v>
      </c>
      <c r="N78" s="30"/>
      <c r="O78" s="31" t="s">
        <v>196</v>
      </c>
      <c r="P78" s="31" t="s">
        <v>197</v>
      </c>
    </row>
    <row r="79" spans="1:16" ht="12.75" customHeight="1" x14ac:dyDescent="0.2">
      <c r="A79" s="20" t="str">
        <f t="shared" si="12"/>
        <v> MVS 408 </v>
      </c>
      <c r="B79" s="8" t="str">
        <f t="shared" si="13"/>
        <v>I</v>
      </c>
      <c r="C79" s="20">
        <f t="shared" si="14"/>
        <v>36164.36</v>
      </c>
      <c r="D79" t="str">
        <f t="shared" si="15"/>
        <v>vis</v>
      </c>
      <c r="E79">
        <f>VLOOKUP(C79,Active!C$21:E$973,3,FALSE)</f>
        <v>12968.447111937228</v>
      </c>
      <c r="F79" s="8" t="s">
        <v>56</v>
      </c>
      <c r="G79" t="str">
        <f t="shared" si="16"/>
        <v>36164.360</v>
      </c>
      <c r="H79" s="20">
        <f t="shared" si="17"/>
        <v>12968</v>
      </c>
      <c r="I79" s="29" t="s">
        <v>313</v>
      </c>
      <c r="J79" s="30" t="s">
        <v>314</v>
      </c>
      <c r="K79" s="29">
        <v>12968</v>
      </c>
      <c r="L79" s="29" t="s">
        <v>228</v>
      </c>
      <c r="M79" s="30" t="s">
        <v>61</v>
      </c>
      <c r="N79" s="30"/>
      <c r="O79" s="31" t="s">
        <v>196</v>
      </c>
      <c r="P79" s="31" t="s">
        <v>197</v>
      </c>
    </row>
    <row r="80" spans="1:16" ht="12.75" customHeight="1" x14ac:dyDescent="0.2">
      <c r="A80" s="20" t="str">
        <f t="shared" si="12"/>
        <v> MVS 408 </v>
      </c>
      <c r="B80" s="8" t="str">
        <f t="shared" si="13"/>
        <v>I</v>
      </c>
      <c r="C80" s="20">
        <f t="shared" si="14"/>
        <v>36172.474999999999</v>
      </c>
      <c r="D80" t="str">
        <f t="shared" si="15"/>
        <v>vis</v>
      </c>
      <c r="E80">
        <f>VLOOKUP(C80,Active!C$21:E$973,3,FALSE)</f>
        <v>12980.45130914947</v>
      </c>
      <c r="F80" s="8" t="s">
        <v>56</v>
      </c>
      <c r="G80" t="str">
        <f t="shared" si="16"/>
        <v>36172.475</v>
      </c>
      <c r="H80" s="20">
        <f t="shared" si="17"/>
        <v>12980</v>
      </c>
      <c r="I80" s="29" t="s">
        <v>315</v>
      </c>
      <c r="J80" s="30" t="s">
        <v>316</v>
      </c>
      <c r="K80" s="29">
        <v>12980</v>
      </c>
      <c r="L80" s="29" t="s">
        <v>317</v>
      </c>
      <c r="M80" s="30" t="s">
        <v>296</v>
      </c>
      <c r="N80" s="30"/>
      <c r="O80" s="31" t="s">
        <v>196</v>
      </c>
      <c r="P80" s="31" t="s">
        <v>197</v>
      </c>
    </row>
    <row r="81" spans="1:16" ht="12.75" customHeight="1" x14ac:dyDescent="0.2">
      <c r="A81" s="20" t="str">
        <f t="shared" si="12"/>
        <v> MVS 408 </v>
      </c>
      <c r="B81" s="8" t="str">
        <f t="shared" si="13"/>
        <v>I</v>
      </c>
      <c r="C81" s="20">
        <f t="shared" si="14"/>
        <v>36183.296000000002</v>
      </c>
      <c r="D81" t="str">
        <f t="shared" si="15"/>
        <v>vis</v>
      </c>
      <c r="E81">
        <f>VLOOKUP(C81,Active!C$21:E$973,3,FALSE)</f>
        <v>12996.458384692751</v>
      </c>
      <c r="F81" s="8" t="s">
        <v>56</v>
      </c>
      <c r="G81" t="str">
        <f t="shared" si="16"/>
        <v>36183.296</v>
      </c>
      <c r="H81" s="20">
        <f t="shared" si="17"/>
        <v>12996</v>
      </c>
      <c r="I81" s="29" t="s">
        <v>318</v>
      </c>
      <c r="J81" s="30" t="s">
        <v>319</v>
      </c>
      <c r="K81" s="29">
        <v>12996</v>
      </c>
      <c r="L81" s="29" t="s">
        <v>242</v>
      </c>
      <c r="M81" s="30" t="s">
        <v>296</v>
      </c>
      <c r="N81" s="30"/>
      <c r="O81" s="31" t="s">
        <v>196</v>
      </c>
      <c r="P81" s="31" t="s">
        <v>197</v>
      </c>
    </row>
    <row r="82" spans="1:16" ht="12.75" customHeight="1" x14ac:dyDescent="0.2">
      <c r="A82" s="20" t="str">
        <f t="shared" si="12"/>
        <v> MVS 408 </v>
      </c>
      <c r="B82" s="8" t="str">
        <f t="shared" si="13"/>
        <v>II</v>
      </c>
      <c r="C82" s="20">
        <f t="shared" si="14"/>
        <v>36229.64</v>
      </c>
      <c r="D82" t="str">
        <f t="shared" si="15"/>
        <v>vis</v>
      </c>
      <c r="E82">
        <f>VLOOKUP(C82,Active!C$21:E$973,3,FALSE)</f>
        <v>13065.013223337754</v>
      </c>
      <c r="F82" s="8" t="s">
        <v>56</v>
      </c>
      <c r="G82" t="str">
        <f t="shared" si="16"/>
        <v>36229.640</v>
      </c>
      <c r="H82" s="20">
        <f t="shared" si="17"/>
        <v>13064.5</v>
      </c>
      <c r="I82" s="29" t="s">
        <v>320</v>
      </c>
      <c r="J82" s="30" t="s">
        <v>321</v>
      </c>
      <c r="K82" s="29">
        <v>13064.5</v>
      </c>
      <c r="L82" s="29" t="s">
        <v>322</v>
      </c>
      <c r="M82" s="30" t="s">
        <v>61</v>
      </c>
      <c r="N82" s="30"/>
      <c r="O82" s="31" t="s">
        <v>196</v>
      </c>
      <c r="P82" s="31" t="s">
        <v>197</v>
      </c>
    </row>
    <row r="83" spans="1:16" ht="12.75" customHeight="1" x14ac:dyDescent="0.2">
      <c r="A83" s="20" t="str">
        <f t="shared" si="12"/>
        <v> MVS 408 </v>
      </c>
      <c r="B83" s="8" t="str">
        <f t="shared" si="13"/>
        <v>I</v>
      </c>
      <c r="C83" s="20">
        <f t="shared" si="14"/>
        <v>36231.294999999998</v>
      </c>
      <c r="D83" t="str">
        <f t="shared" si="15"/>
        <v>vis</v>
      </c>
      <c r="E83">
        <f>VLOOKUP(C83,Active!C$21:E$973,3,FALSE)</f>
        <v>13067.461399109319</v>
      </c>
      <c r="F83" s="8" t="s">
        <v>56</v>
      </c>
      <c r="G83" t="str">
        <f t="shared" si="16"/>
        <v>36231.295</v>
      </c>
      <c r="H83" s="20">
        <f t="shared" si="17"/>
        <v>13067</v>
      </c>
      <c r="I83" s="29" t="s">
        <v>323</v>
      </c>
      <c r="J83" s="30" t="s">
        <v>324</v>
      </c>
      <c r="K83" s="29">
        <v>13067</v>
      </c>
      <c r="L83" s="29" t="s">
        <v>225</v>
      </c>
      <c r="M83" s="30" t="s">
        <v>61</v>
      </c>
      <c r="N83" s="30"/>
      <c r="O83" s="31" t="s">
        <v>196</v>
      </c>
      <c r="P83" s="31" t="s">
        <v>197</v>
      </c>
    </row>
    <row r="84" spans="1:16" ht="12.75" customHeight="1" x14ac:dyDescent="0.2">
      <c r="A84" s="20" t="str">
        <f t="shared" si="12"/>
        <v> MVS 408 </v>
      </c>
      <c r="B84" s="8" t="str">
        <f t="shared" si="13"/>
        <v>II</v>
      </c>
      <c r="C84" s="20">
        <f t="shared" si="14"/>
        <v>36231.629999999997</v>
      </c>
      <c r="D84" t="str">
        <f t="shared" si="15"/>
        <v>vis</v>
      </c>
      <c r="E84">
        <f>VLOOKUP(C84,Active!C$21:E$973,3,FALSE)</f>
        <v>13067.95695130477</v>
      </c>
      <c r="F84" s="8" t="s">
        <v>56</v>
      </c>
      <c r="G84" t="str">
        <f t="shared" si="16"/>
        <v>36231.630</v>
      </c>
      <c r="H84" s="20">
        <f t="shared" si="17"/>
        <v>13067.5</v>
      </c>
      <c r="I84" s="29" t="s">
        <v>325</v>
      </c>
      <c r="J84" s="30" t="s">
        <v>326</v>
      </c>
      <c r="K84" s="29">
        <v>13067.5</v>
      </c>
      <c r="L84" s="29" t="s">
        <v>66</v>
      </c>
      <c r="M84" s="30" t="s">
        <v>61</v>
      </c>
      <c r="N84" s="30"/>
      <c r="O84" s="31" t="s">
        <v>196</v>
      </c>
      <c r="P84" s="31" t="s">
        <v>197</v>
      </c>
    </row>
    <row r="85" spans="1:16" ht="12.75" customHeight="1" x14ac:dyDescent="0.2">
      <c r="A85" s="20" t="str">
        <f t="shared" si="12"/>
        <v> MVS 408 </v>
      </c>
      <c r="B85" s="8" t="str">
        <f t="shared" si="13"/>
        <v>II</v>
      </c>
      <c r="C85" s="20">
        <f t="shared" si="14"/>
        <v>36232.281000000003</v>
      </c>
      <c r="D85" t="str">
        <f t="shared" si="15"/>
        <v>vis</v>
      </c>
      <c r="E85">
        <f>VLOOKUP(C85,Active!C$21:E$973,3,FALSE)</f>
        <v>13068.91994975027</v>
      </c>
      <c r="F85" s="8" t="s">
        <v>56</v>
      </c>
      <c r="G85" t="str">
        <f t="shared" si="16"/>
        <v>36232.281</v>
      </c>
      <c r="H85" s="20">
        <f t="shared" si="17"/>
        <v>13068.5</v>
      </c>
      <c r="I85" s="29" t="s">
        <v>327</v>
      </c>
      <c r="J85" s="30" t="s">
        <v>328</v>
      </c>
      <c r="K85" s="29">
        <v>13068.5</v>
      </c>
      <c r="L85" s="29" t="s">
        <v>329</v>
      </c>
      <c r="M85" s="30" t="s">
        <v>61</v>
      </c>
      <c r="N85" s="30"/>
      <c r="O85" s="31" t="s">
        <v>196</v>
      </c>
      <c r="P85" s="31" t="s">
        <v>197</v>
      </c>
    </row>
    <row r="86" spans="1:16" ht="12.75" customHeight="1" x14ac:dyDescent="0.2">
      <c r="A86" s="20" t="str">
        <f t="shared" si="12"/>
        <v> MVS 408 </v>
      </c>
      <c r="B86" s="8" t="str">
        <f t="shared" si="13"/>
        <v>I</v>
      </c>
      <c r="C86" s="20">
        <f t="shared" si="14"/>
        <v>36245.49</v>
      </c>
      <c r="D86" t="str">
        <f t="shared" si="15"/>
        <v>vis</v>
      </c>
      <c r="E86">
        <f>VLOOKUP(C86,Active!C$21:E$973,3,FALSE)</f>
        <v>13088.459498853965</v>
      </c>
      <c r="F86" s="8" t="s">
        <v>56</v>
      </c>
      <c r="G86" t="str">
        <f t="shared" si="16"/>
        <v>36245.490</v>
      </c>
      <c r="H86" s="20">
        <f t="shared" si="17"/>
        <v>13088</v>
      </c>
      <c r="I86" s="29" t="s">
        <v>330</v>
      </c>
      <c r="J86" s="30" t="s">
        <v>331</v>
      </c>
      <c r="K86" s="29">
        <v>13088</v>
      </c>
      <c r="L86" s="29" t="s">
        <v>332</v>
      </c>
      <c r="M86" s="30" t="s">
        <v>61</v>
      </c>
      <c r="N86" s="30"/>
      <c r="O86" s="31" t="s">
        <v>196</v>
      </c>
      <c r="P86" s="31" t="s">
        <v>197</v>
      </c>
    </row>
    <row r="87" spans="1:16" ht="12.75" customHeight="1" x14ac:dyDescent="0.2">
      <c r="A87" s="20" t="str">
        <f t="shared" si="12"/>
        <v>BAVM 62 </v>
      </c>
      <c r="B87" s="8" t="str">
        <f t="shared" si="13"/>
        <v>II</v>
      </c>
      <c r="C87" s="20">
        <f t="shared" si="14"/>
        <v>49005.290699999998</v>
      </c>
      <c r="D87" t="str">
        <f t="shared" si="15"/>
        <v>vis</v>
      </c>
      <c r="E87">
        <f>VLOOKUP(C87,Active!C$21:E$973,3,FALSE)</f>
        <v>31963.525918043899</v>
      </c>
      <c r="F87" s="8" t="s">
        <v>56</v>
      </c>
      <c r="G87" t="str">
        <f t="shared" si="16"/>
        <v>49005.2907</v>
      </c>
      <c r="H87" s="20">
        <f t="shared" si="17"/>
        <v>31962.5</v>
      </c>
      <c r="I87" s="29" t="s">
        <v>333</v>
      </c>
      <c r="J87" s="30" t="s">
        <v>334</v>
      </c>
      <c r="K87" s="29">
        <v>31962.5</v>
      </c>
      <c r="L87" s="29" t="s">
        <v>335</v>
      </c>
      <c r="M87" s="30" t="s">
        <v>70</v>
      </c>
      <c r="N87" s="30" t="s">
        <v>336</v>
      </c>
      <c r="O87" s="31" t="s">
        <v>78</v>
      </c>
      <c r="P87" s="32" t="s">
        <v>337</v>
      </c>
    </row>
    <row r="88" spans="1:16" ht="12.75" customHeight="1" x14ac:dyDescent="0.2">
      <c r="A88" s="20" t="str">
        <f t="shared" si="12"/>
        <v>BAVM 62 </v>
      </c>
      <c r="B88" s="8" t="str">
        <f t="shared" si="13"/>
        <v>II</v>
      </c>
      <c r="C88" s="20">
        <f t="shared" si="14"/>
        <v>49005.292600000001</v>
      </c>
      <c r="D88" t="str">
        <f t="shared" si="15"/>
        <v>vis</v>
      </c>
      <c r="E88">
        <f>VLOOKUP(C88,Active!C$21:E$973,3,FALSE)</f>
        <v>31963.528728638445</v>
      </c>
      <c r="F88" s="8" t="s">
        <v>56</v>
      </c>
      <c r="G88" t="str">
        <f t="shared" si="16"/>
        <v>49005.2926</v>
      </c>
      <c r="H88" s="20">
        <f t="shared" si="17"/>
        <v>31962.5</v>
      </c>
      <c r="I88" s="29" t="s">
        <v>338</v>
      </c>
      <c r="J88" s="30" t="s">
        <v>339</v>
      </c>
      <c r="K88" s="29">
        <v>31962.5</v>
      </c>
      <c r="L88" s="29" t="s">
        <v>340</v>
      </c>
      <c r="M88" s="30" t="s">
        <v>70</v>
      </c>
      <c r="N88" s="30" t="s">
        <v>77</v>
      </c>
      <c r="O88" s="31" t="s">
        <v>78</v>
      </c>
      <c r="P88" s="32" t="s">
        <v>337</v>
      </c>
    </row>
    <row r="89" spans="1:16" ht="12.75" customHeight="1" x14ac:dyDescent="0.2">
      <c r="A89" s="20" t="str">
        <f t="shared" si="12"/>
        <v>BAVM 68 </v>
      </c>
      <c r="B89" s="8" t="str">
        <f t="shared" si="13"/>
        <v>I</v>
      </c>
      <c r="C89" s="20">
        <f t="shared" si="14"/>
        <v>49310.515700000004</v>
      </c>
      <c r="D89" t="str">
        <f t="shared" si="15"/>
        <v>vis</v>
      </c>
      <c r="E89">
        <f>VLOOKUP(C89,Active!C$21:E$973,3,FALSE)</f>
        <v>32415.033138513052</v>
      </c>
      <c r="F89" s="8" t="s">
        <v>56</v>
      </c>
      <c r="G89" t="str">
        <f t="shared" si="16"/>
        <v>49310.5157</v>
      </c>
      <c r="H89" s="20">
        <f t="shared" si="17"/>
        <v>32414</v>
      </c>
      <c r="I89" s="29" t="s">
        <v>341</v>
      </c>
      <c r="J89" s="30" t="s">
        <v>342</v>
      </c>
      <c r="K89" s="29">
        <v>32414</v>
      </c>
      <c r="L89" s="29" t="s">
        <v>343</v>
      </c>
      <c r="M89" s="30" t="s">
        <v>70</v>
      </c>
      <c r="N89" s="30" t="s">
        <v>344</v>
      </c>
      <c r="O89" s="31" t="s">
        <v>78</v>
      </c>
      <c r="P89" s="32" t="s">
        <v>345</v>
      </c>
    </row>
    <row r="90" spans="1:16" ht="12.75" customHeight="1" x14ac:dyDescent="0.2">
      <c r="A90" s="20" t="str">
        <f t="shared" si="12"/>
        <v>BAVM 68 </v>
      </c>
      <c r="B90" s="8" t="str">
        <f t="shared" si="13"/>
        <v>I</v>
      </c>
      <c r="C90" s="20">
        <f t="shared" si="14"/>
        <v>49310.516600000003</v>
      </c>
      <c r="D90" t="str">
        <f t="shared" si="15"/>
        <v>vis</v>
      </c>
      <c r="E90">
        <f>VLOOKUP(C90,Active!C$21:E$973,3,FALSE)</f>
        <v>32415.034469847305</v>
      </c>
      <c r="F90" s="8" t="s">
        <v>56</v>
      </c>
      <c r="G90" t="str">
        <f t="shared" si="16"/>
        <v>49310.5166</v>
      </c>
      <c r="H90" s="20">
        <f t="shared" si="17"/>
        <v>32414</v>
      </c>
      <c r="I90" s="29" t="s">
        <v>346</v>
      </c>
      <c r="J90" s="30" t="s">
        <v>347</v>
      </c>
      <c r="K90" s="29">
        <v>32414</v>
      </c>
      <c r="L90" s="29" t="s">
        <v>348</v>
      </c>
      <c r="M90" s="30" t="s">
        <v>70</v>
      </c>
      <c r="N90" s="30" t="s">
        <v>77</v>
      </c>
      <c r="O90" s="31" t="s">
        <v>78</v>
      </c>
      <c r="P90" s="32" t="s">
        <v>345</v>
      </c>
    </row>
    <row r="91" spans="1:16" ht="12.75" customHeight="1" x14ac:dyDescent="0.2">
      <c r="A91" s="20" t="str">
        <f t="shared" si="12"/>
        <v>BAVM 128 </v>
      </c>
      <c r="B91" s="8" t="str">
        <f t="shared" si="13"/>
        <v>I</v>
      </c>
      <c r="C91" s="20">
        <f t="shared" si="14"/>
        <v>51249.356599999999</v>
      </c>
      <c r="D91" t="str">
        <f t="shared" si="15"/>
        <v>vis</v>
      </c>
      <c r="E91">
        <f>VLOOKUP(C91,Active!C$21:E$973,3,FALSE)</f>
        <v>35283.083480689784</v>
      </c>
      <c r="F91" s="8" t="s">
        <v>56</v>
      </c>
      <c r="G91" t="str">
        <f t="shared" si="16"/>
        <v>51249.3566</v>
      </c>
      <c r="H91" s="20">
        <f t="shared" si="17"/>
        <v>35282</v>
      </c>
      <c r="I91" s="29" t="s">
        <v>349</v>
      </c>
      <c r="J91" s="30" t="s">
        <v>350</v>
      </c>
      <c r="K91" s="29">
        <v>35282</v>
      </c>
      <c r="L91" s="29" t="s">
        <v>351</v>
      </c>
      <c r="M91" s="30" t="s">
        <v>70</v>
      </c>
      <c r="N91" s="30" t="s">
        <v>344</v>
      </c>
      <c r="O91" s="31" t="s">
        <v>78</v>
      </c>
      <c r="P91" s="32" t="s">
        <v>352</v>
      </c>
    </row>
    <row r="92" spans="1:16" ht="12.75" customHeight="1" x14ac:dyDescent="0.2">
      <c r="A92" s="20" t="str">
        <f t="shared" si="12"/>
        <v>BAVM 128 </v>
      </c>
      <c r="B92" s="8" t="str">
        <f t="shared" si="13"/>
        <v>I</v>
      </c>
      <c r="C92" s="20">
        <f t="shared" si="14"/>
        <v>51249.359499999999</v>
      </c>
      <c r="D92" t="str">
        <f t="shared" si="15"/>
        <v>vis</v>
      </c>
      <c r="E92">
        <f>VLOOKUP(C92,Active!C$21:E$973,3,FALSE)</f>
        <v>35283.087770544611</v>
      </c>
      <c r="F92" s="8" t="s">
        <v>56</v>
      </c>
      <c r="G92" t="str">
        <f t="shared" si="16"/>
        <v>51249.3595</v>
      </c>
      <c r="H92" s="20">
        <f t="shared" si="17"/>
        <v>35282</v>
      </c>
      <c r="I92" s="29" t="s">
        <v>353</v>
      </c>
      <c r="J92" s="30" t="s">
        <v>354</v>
      </c>
      <c r="K92" s="29">
        <v>35282</v>
      </c>
      <c r="L92" s="29" t="s">
        <v>355</v>
      </c>
      <c r="M92" s="30" t="s">
        <v>70</v>
      </c>
      <c r="N92" s="30" t="s">
        <v>77</v>
      </c>
      <c r="O92" s="31" t="s">
        <v>78</v>
      </c>
      <c r="P92" s="32" t="s">
        <v>352</v>
      </c>
    </row>
    <row r="93" spans="1:16" ht="12.75" customHeight="1" x14ac:dyDescent="0.2">
      <c r="A93" s="20" t="str">
        <f t="shared" si="12"/>
        <v>IBVS 5486 </v>
      </c>
      <c r="B93" s="8" t="str">
        <f t="shared" si="13"/>
        <v>I</v>
      </c>
      <c r="C93" s="20">
        <f t="shared" si="14"/>
        <v>53055.011700000003</v>
      </c>
      <c r="D93" t="str">
        <f t="shared" si="15"/>
        <v>vis</v>
      </c>
      <c r="E93">
        <f>VLOOKUP(C93,Active!C$21:E$973,3,FALSE)</f>
        <v>37954.11735840929</v>
      </c>
      <c r="F93" s="8" t="s">
        <v>56</v>
      </c>
      <c r="G93" t="str">
        <f t="shared" si="16"/>
        <v>53055.0117</v>
      </c>
      <c r="H93" s="20">
        <f t="shared" si="17"/>
        <v>37953</v>
      </c>
      <c r="I93" s="29" t="s">
        <v>356</v>
      </c>
      <c r="J93" s="30" t="s">
        <v>357</v>
      </c>
      <c r="K93" s="29" t="s">
        <v>358</v>
      </c>
      <c r="L93" s="29" t="s">
        <v>359</v>
      </c>
      <c r="M93" s="30" t="s">
        <v>70</v>
      </c>
      <c r="N93" s="30" t="s">
        <v>94</v>
      </c>
      <c r="O93" s="31" t="s">
        <v>95</v>
      </c>
      <c r="P93" s="32" t="s">
        <v>96</v>
      </c>
    </row>
    <row r="94" spans="1:16" ht="12.75" customHeight="1" x14ac:dyDescent="0.2">
      <c r="A94" s="20" t="str">
        <f t="shared" si="12"/>
        <v>BAVM 212 </v>
      </c>
      <c r="B94" s="8" t="str">
        <f t="shared" si="13"/>
        <v>I</v>
      </c>
      <c r="C94" s="20">
        <f t="shared" si="14"/>
        <v>55155.413099999998</v>
      </c>
      <c r="D94" t="str">
        <f t="shared" si="15"/>
        <v>vis</v>
      </c>
      <c r="E94">
        <f>VLOOKUP(C94,Active!C$21:E$973,3,FALSE)</f>
        <v>41061.157731850195</v>
      </c>
      <c r="F94" s="8" t="s">
        <v>56</v>
      </c>
      <c r="G94" t="str">
        <f t="shared" si="16"/>
        <v>55155.4131</v>
      </c>
      <c r="H94" s="20">
        <f t="shared" si="17"/>
        <v>41060</v>
      </c>
      <c r="I94" s="29" t="s">
        <v>360</v>
      </c>
      <c r="J94" s="30" t="s">
        <v>361</v>
      </c>
      <c r="K94" s="29" t="s">
        <v>362</v>
      </c>
      <c r="L94" s="29" t="s">
        <v>363</v>
      </c>
      <c r="M94" s="30" t="s">
        <v>83</v>
      </c>
      <c r="N94" s="30" t="s">
        <v>71</v>
      </c>
      <c r="O94" s="31" t="s">
        <v>127</v>
      </c>
      <c r="P94" s="32" t="s">
        <v>364</v>
      </c>
    </row>
  </sheetData>
  <sheetProtection selectLockedCells="1" selectUnlockedCells="1"/>
  <phoneticPr fontId="0" type="noConversion"/>
  <hyperlinks>
    <hyperlink ref="P11" r:id="rId1"/>
    <hyperlink ref="P12" r:id="rId2"/>
    <hyperlink ref="P13" r:id="rId3"/>
    <hyperlink ref="P14" r:id="rId4"/>
    <hyperlink ref="P15" r:id="rId5"/>
    <hyperlink ref="P17" r:id="rId6"/>
    <hyperlink ref="P18" r:id="rId7"/>
    <hyperlink ref="P19" r:id="rId8"/>
    <hyperlink ref="P20" r:id="rId9"/>
    <hyperlink ref="P21" r:id="rId10"/>
    <hyperlink ref="P22" r:id="rId11"/>
    <hyperlink ref="P23" r:id="rId12"/>
    <hyperlink ref="P24" r:id="rId13"/>
    <hyperlink ref="P25" r:id="rId14"/>
    <hyperlink ref="P26" r:id="rId15"/>
    <hyperlink ref="P27" r:id="rId16"/>
    <hyperlink ref="P28" r:id="rId17"/>
    <hyperlink ref="P29" r:id="rId18"/>
    <hyperlink ref="P31" r:id="rId19"/>
    <hyperlink ref="P32" r:id="rId20"/>
    <hyperlink ref="P33" r:id="rId21"/>
    <hyperlink ref="P34" r:id="rId22"/>
    <hyperlink ref="P35" r:id="rId23"/>
    <hyperlink ref="P36" r:id="rId24"/>
    <hyperlink ref="P87" r:id="rId25"/>
    <hyperlink ref="P88" r:id="rId26"/>
    <hyperlink ref="P89" r:id="rId27"/>
    <hyperlink ref="P90" r:id="rId28"/>
    <hyperlink ref="P91" r:id="rId29"/>
    <hyperlink ref="P92" r:id="rId30"/>
    <hyperlink ref="P93" r:id="rId31"/>
    <hyperlink ref="P94" r:id="rId3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C11" sqref="C1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9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2" t="s">
        <v>0</v>
      </c>
      <c r="C1" s="3" t="s">
        <v>397</v>
      </c>
    </row>
    <row r="2" spans="1:4" x14ac:dyDescent="0.2">
      <c r="A2" s="1" t="s">
        <v>2</v>
      </c>
      <c r="C2" s="3" t="s">
        <v>398</v>
      </c>
    </row>
    <row r="4" spans="1:4" x14ac:dyDescent="0.2">
      <c r="A4" s="4" t="s">
        <v>3</v>
      </c>
      <c r="C4" s="5">
        <v>27397.513999999999</v>
      </c>
      <c r="D4" s="6">
        <v>0.67603690000000005</v>
      </c>
    </row>
    <row r="6" spans="1:4" x14ac:dyDescent="0.2">
      <c r="A6" s="4" t="s">
        <v>4</v>
      </c>
    </row>
    <row r="7" spans="1:4" x14ac:dyDescent="0.2">
      <c r="A7" s="1" t="s">
        <v>5</v>
      </c>
      <c r="C7" s="14" t="s">
        <v>38</v>
      </c>
    </row>
    <row r="8" spans="1:4" x14ac:dyDescent="0.2">
      <c r="A8" s="1" t="s">
        <v>6</v>
      </c>
      <c r="C8" s="1">
        <v>0.67602252889131387</v>
      </c>
    </row>
    <row r="10" spans="1:4" x14ac:dyDescent="0.2">
      <c r="C10" s="7" t="s">
        <v>7</v>
      </c>
      <c r="D10" s="7" t="s">
        <v>8</v>
      </c>
    </row>
    <row r="11" spans="1:4" x14ac:dyDescent="0.2">
      <c r="A11" s="1" t="s">
        <v>9</v>
      </c>
      <c r="C11" s="1">
        <f>INTERCEPT(G25:G93,F25:F93)</f>
        <v>1.0995008547601524E-4</v>
      </c>
      <c r="D11" s="8"/>
    </row>
    <row r="12" spans="1:4" x14ac:dyDescent="0.2">
      <c r="A12" s="1" t="s">
        <v>10</v>
      </c>
      <c r="C12" s="1">
        <f>SLOPE(G25:G93,F25:F93)</f>
        <v>-6.1996202269311917E-17</v>
      </c>
      <c r="D12" s="8"/>
    </row>
    <row r="13" spans="1:4" x14ac:dyDescent="0.2">
      <c r="A13" s="1" t="s">
        <v>11</v>
      </c>
      <c r="C13" s="8" t="s">
        <v>12</v>
      </c>
      <c r="D13" s="8"/>
    </row>
    <row r="14" spans="1:4" x14ac:dyDescent="0.2">
      <c r="A14" s="1" t="s">
        <v>13</v>
      </c>
    </row>
    <row r="15" spans="1:4" x14ac:dyDescent="0.2">
      <c r="A15" s="4" t="s">
        <v>14</v>
      </c>
      <c r="C15" s="19">
        <v>54006.8531</v>
      </c>
    </row>
    <row r="16" spans="1:4" x14ac:dyDescent="0.2">
      <c r="A16" s="4" t="s">
        <v>15</v>
      </c>
      <c r="C16" s="1">
        <f>+C8+C12</f>
        <v>0.67602252889131376</v>
      </c>
    </row>
    <row r="18" spans="1:17" x14ac:dyDescent="0.2">
      <c r="A18" s="4" t="s">
        <v>16</v>
      </c>
      <c r="C18" s="5">
        <f>+C15</f>
        <v>54006.8531</v>
      </c>
      <c r="D18" s="6">
        <f>+C16</f>
        <v>0.67602252889131376</v>
      </c>
    </row>
    <row r="20" spans="1:17" x14ac:dyDescent="0.2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</row>
    <row r="21" spans="1:17" x14ac:dyDescent="0.2">
      <c r="A21" s="1" t="s">
        <v>24</v>
      </c>
      <c r="C21" s="10">
        <v>27397.513999999999</v>
      </c>
      <c r="D21" s="8" t="s">
        <v>12</v>
      </c>
      <c r="E21" s="1">
        <f t="shared" ref="E21:E30" si="0">+(C21-C$7)/C$8</f>
        <v>-35282.617044016784</v>
      </c>
      <c r="F21" s="1">
        <f t="shared" ref="F21:F30" si="1">ROUND(2*E21,0)/2</f>
        <v>-35282.5</v>
      </c>
      <c r="H21" s="10">
        <v>0</v>
      </c>
      <c r="Q21" s="11">
        <f t="shared" ref="Q21:Q30" si="2">+C21-15018.5</f>
        <v>12379.013999999999</v>
      </c>
    </row>
    <row r="22" spans="1:17" x14ac:dyDescent="0.2">
      <c r="A22" s="12" t="s">
        <v>34</v>
      </c>
      <c r="B22" s="54" t="s">
        <v>35</v>
      </c>
      <c r="C22" s="70">
        <v>39125.411</v>
      </c>
      <c r="D22" s="8"/>
      <c r="E22" s="1">
        <f t="shared" si="0"/>
        <v>-17934.235150244825</v>
      </c>
      <c r="F22" s="1">
        <f t="shared" si="1"/>
        <v>-17934</v>
      </c>
      <c r="G22" s="1">
        <f t="shared" ref="G22:G30" si="3">+C22-(C$7+F22*C$8)</f>
        <v>-0.15896686317864805</v>
      </c>
      <c r="I22" s="1">
        <f t="shared" ref="I22:I28" si="4">G22</f>
        <v>-0.15896686317864805</v>
      </c>
      <c r="Q22" s="11">
        <f t="shared" si="2"/>
        <v>24106.911</v>
      </c>
    </row>
    <row r="23" spans="1:17" x14ac:dyDescent="0.2">
      <c r="A23" s="12" t="s">
        <v>34</v>
      </c>
      <c r="B23" s="54" t="s">
        <v>36</v>
      </c>
      <c r="C23" s="70">
        <v>39125.743999999999</v>
      </c>
      <c r="D23" s="8"/>
      <c r="E23" s="1">
        <f t="shared" si="0"/>
        <v>-17933.742563110867</v>
      </c>
      <c r="F23" s="1">
        <f t="shared" si="1"/>
        <v>-17933.5</v>
      </c>
      <c r="G23" s="1">
        <f t="shared" si="3"/>
        <v>-0.16397812762443209</v>
      </c>
      <c r="I23" s="1">
        <f t="shared" si="4"/>
        <v>-0.16397812762443209</v>
      </c>
      <c r="Q23" s="11">
        <f t="shared" si="2"/>
        <v>24107.243999999999</v>
      </c>
    </row>
    <row r="24" spans="1:17" x14ac:dyDescent="0.2">
      <c r="A24" s="15" t="s">
        <v>37</v>
      </c>
      <c r="C24" s="71">
        <v>50540.578999999998</v>
      </c>
      <c r="D24" s="8">
        <v>2E-3</v>
      </c>
      <c r="E24" s="10">
        <f t="shared" si="0"/>
        <v>-1048.4547033697374</v>
      </c>
      <c r="F24" s="10">
        <f t="shared" si="1"/>
        <v>-1048.5</v>
      </c>
      <c r="G24" s="10">
        <f t="shared" si="3"/>
        <v>3.062154253711924E-2</v>
      </c>
      <c r="I24" s="10">
        <f t="shared" si="4"/>
        <v>3.062154253711924E-2</v>
      </c>
      <c r="O24" s="1">
        <f t="shared" ref="O24:O30" si="5">+C$11+C$12*F24</f>
        <v>1.0995008554101825E-4</v>
      </c>
      <c r="Q24" s="11">
        <f t="shared" si="2"/>
        <v>35522.078999999998</v>
      </c>
    </row>
    <row r="25" spans="1:17" x14ac:dyDescent="0.2">
      <c r="A25" s="17" t="s">
        <v>37</v>
      </c>
      <c r="B25" s="18"/>
      <c r="C25" s="14" t="s">
        <v>38</v>
      </c>
      <c r="D25" s="8"/>
      <c r="E25" s="1">
        <f t="shared" si="0"/>
        <v>0</v>
      </c>
      <c r="F25" s="1">
        <f t="shared" si="1"/>
        <v>0</v>
      </c>
      <c r="G25" s="1">
        <f t="shared" si="3"/>
        <v>0</v>
      </c>
      <c r="I25" s="1">
        <f t="shared" si="4"/>
        <v>0</v>
      </c>
      <c r="O25" s="1">
        <f t="shared" si="5"/>
        <v>1.0995008547601524E-4</v>
      </c>
      <c r="Q25" s="11">
        <f t="shared" si="2"/>
        <v>36230.858</v>
      </c>
    </row>
    <row r="26" spans="1:17" x14ac:dyDescent="0.2">
      <c r="A26" s="15" t="s">
        <v>39</v>
      </c>
      <c r="C26" s="16">
        <v>51470.416899999997</v>
      </c>
      <c r="D26" s="8">
        <v>7.0000000000000001E-3</v>
      </c>
      <c r="E26" s="1">
        <f t="shared" si="0"/>
        <v>326.99930927233441</v>
      </c>
      <c r="F26" s="1">
        <f t="shared" si="1"/>
        <v>327</v>
      </c>
      <c r="G26" s="1">
        <f t="shared" si="3"/>
        <v>-4.6694746561115608E-4</v>
      </c>
      <c r="I26" s="1">
        <f t="shared" si="4"/>
        <v>-4.6694746561115608E-4</v>
      </c>
      <c r="O26" s="1">
        <f t="shared" si="5"/>
        <v>1.0995008545574247E-4</v>
      </c>
      <c r="Q26" s="11">
        <f t="shared" si="2"/>
        <v>36451.916899999997</v>
      </c>
    </row>
    <row r="27" spans="1:17" x14ac:dyDescent="0.2">
      <c r="A27" s="17" t="s">
        <v>40</v>
      </c>
      <c r="B27" s="18"/>
      <c r="C27" s="19">
        <v>51923.353499999997</v>
      </c>
      <c r="D27" s="8"/>
      <c r="E27" s="1">
        <f t="shared" si="0"/>
        <v>997.00153648038781</v>
      </c>
      <c r="F27" s="1">
        <f t="shared" si="1"/>
        <v>997</v>
      </c>
      <c r="G27" s="1">
        <f t="shared" si="3"/>
        <v>1.038695358147379E-3</v>
      </c>
      <c r="I27" s="1">
        <f t="shared" si="4"/>
        <v>1.038695358147379E-3</v>
      </c>
      <c r="O27" s="1">
        <f t="shared" si="5"/>
        <v>1.0995008541420502E-4</v>
      </c>
      <c r="Q27" s="11">
        <f t="shared" si="2"/>
        <v>36904.853499999997</v>
      </c>
    </row>
    <row r="28" spans="1:17" x14ac:dyDescent="0.2">
      <c r="A28" s="1" t="s">
        <v>41</v>
      </c>
      <c r="C28" s="16">
        <v>52696.383600000001</v>
      </c>
      <c r="D28" s="8">
        <v>5.9999999999999995E-4</v>
      </c>
      <c r="E28" s="1">
        <f t="shared" si="0"/>
        <v>2140.4990782972018</v>
      </c>
      <c r="F28" s="1">
        <f t="shared" si="1"/>
        <v>2140.5</v>
      </c>
      <c r="G28" s="1">
        <f t="shared" si="3"/>
        <v>-6.2309185886988416E-4</v>
      </c>
      <c r="I28" s="1">
        <f t="shared" si="4"/>
        <v>-6.2309185886988416E-4</v>
      </c>
      <c r="O28" s="1">
        <f t="shared" si="5"/>
        <v>1.0995008534331236E-4</v>
      </c>
      <c r="Q28" s="11">
        <f t="shared" si="2"/>
        <v>37677.883600000001</v>
      </c>
    </row>
    <row r="29" spans="1:17" x14ac:dyDescent="0.2">
      <c r="A29" s="4" t="s">
        <v>45</v>
      </c>
      <c r="C29" s="1">
        <v>53439.672500000001</v>
      </c>
      <c r="D29" s="8">
        <v>2.0000000000000001E-4</v>
      </c>
      <c r="E29" s="1">
        <f t="shared" si="0"/>
        <v>3240.0022283164822</v>
      </c>
      <c r="F29" s="1">
        <f t="shared" si="1"/>
        <v>3240</v>
      </c>
      <c r="G29" s="1">
        <f t="shared" si="3"/>
        <v>1.5063921455293894E-3</v>
      </c>
      <c r="J29" s="1">
        <f>G29</f>
        <v>1.5063921455293894E-3</v>
      </c>
      <c r="O29" s="1">
        <f t="shared" si="5"/>
        <v>1.0995008527514754E-4</v>
      </c>
      <c r="Q29" s="11">
        <f t="shared" si="2"/>
        <v>38421.172500000001</v>
      </c>
    </row>
    <row r="30" spans="1:17" x14ac:dyDescent="0.2">
      <c r="A30" s="4" t="s">
        <v>46</v>
      </c>
      <c r="B30" s="18"/>
      <c r="C30" s="19">
        <v>54006.8531</v>
      </c>
      <c r="D30" s="8">
        <v>2.0000000000000001E-4</v>
      </c>
      <c r="E30" s="1">
        <f t="shared" si="0"/>
        <v>4078.9988234894026</v>
      </c>
      <c r="F30" s="1">
        <f t="shared" si="1"/>
        <v>4079</v>
      </c>
      <c r="G30" s="1">
        <f t="shared" si="3"/>
        <v>-7.9534766700817272E-4</v>
      </c>
      <c r="J30" s="1">
        <f>G30</f>
        <v>-7.9534766700817272E-4</v>
      </c>
      <c r="O30" s="1">
        <f t="shared" si="5"/>
        <v>1.0995008522313273E-4</v>
      </c>
      <c r="Q30" s="11">
        <f t="shared" si="2"/>
        <v>38988.3531</v>
      </c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A (old)</vt:lpstr>
      <vt:lpstr>B</vt:lpstr>
      <vt:lpstr>BAV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2023-01-21T06:29:16Z</dcterms:created>
  <dcterms:modified xsi:type="dcterms:W3CDTF">2023-01-21T06:29:41Z</dcterms:modified>
</cp:coreProperties>
</file>