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FBBB10F2-32F1-4EEA-BDC5-6C5B57EA0562}" xr6:coauthVersionLast="47" xr6:coauthVersionMax="47" xr10:uidLastSave="{00000000-0000-0000-0000-000000000000}"/>
  <bookViews>
    <workbookView xWindow="15120" yWindow="450" windowWidth="13590" windowHeight="1459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/>
  <c r="G37" i="1" s="1"/>
  <c r="K37" i="1" s="1"/>
  <c r="Q37" i="1"/>
  <c r="E38" i="1"/>
  <c r="F38" i="1"/>
  <c r="G38" i="1" s="1"/>
  <c r="K38" i="1" s="1"/>
  <c r="Q38" i="1"/>
  <c r="E36" i="1"/>
  <c r="F36" i="1"/>
  <c r="G36" i="1"/>
  <c r="K36" i="1"/>
  <c r="Q36" i="1"/>
  <c r="E33" i="1"/>
  <c r="F33" i="1"/>
  <c r="G33" i="1"/>
  <c r="K33" i="1"/>
  <c r="E34" i="1"/>
  <c r="F34" i="1"/>
  <c r="G34" i="1"/>
  <c r="K34" i="1"/>
  <c r="E35" i="1"/>
  <c r="F35" i="1"/>
  <c r="G35" i="1"/>
  <c r="K35" i="1"/>
  <c r="Q33" i="1"/>
  <c r="Q34" i="1"/>
  <c r="Q35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K32" i="1"/>
  <c r="E9" i="1"/>
  <c r="D9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G22" i="2"/>
  <c r="C22" i="2"/>
  <c r="E22" i="2"/>
  <c r="G11" i="2"/>
  <c r="C11" i="2"/>
  <c r="E11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22" i="2"/>
  <c r="B22" i="2"/>
  <c r="D22" i="2"/>
  <c r="A22" i="2"/>
  <c r="H11" i="2"/>
  <c r="B11" i="2"/>
  <c r="D11" i="2"/>
  <c r="A11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F16" i="1"/>
  <c r="F17" i="1" s="1"/>
  <c r="C17" i="1"/>
  <c r="Q21" i="1"/>
  <c r="C11" i="1"/>
  <c r="C12" i="1"/>
  <c r="O38" i="1" l="1"/>
  <c r="O37" i="1"/>
  <c r="C16" i="1"/>
  <c r="D18" i="1" s="1"/>
  <c r="O36" i="1"/>
  <c r="O23" i="1"/>
  <c r="O32" i="1"/>
  <c r="O31" i="1"/>
  <c r="O35" i="1"/>
  <c r="O25" i="1"/>
  <c r="O28" i="1"/>
  <c r="O29" i="1"/>
  <c r="O34" i="1"/>
  <c r="O27" i="1"/>
  <c r="O22" i="1"/>
  <c r="O33" i="1"/>
  <c r="O24" i="1"/>
  <c r="O21" i="1"/>
  <c r="C15" i="1"/>
  <c r="O30" i="1"/>
  <c r="O26" i="1"/>
  <c r="C18" i="1" l="1"/>
  <c r="F18" i="1"/>
  <c r="F19" i="1" s="1"/>
</calcChain>
</file>

<file path=xl/sharedStrings.xml><?xml version="1.0" encoding="utf-8"?>
<sst xmlns="http://schemas.openxmlformats.org/spreadsheetml/2006/main" count="181" uniqueCount="105">
  <si>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</si>
  <si>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</si>
  <si>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</si>
  <si>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</si>
  <si>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</si>
  <si>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</si>
  <si>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</si>
  <si>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</si>
  <si>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</si>
  <si>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</si>
  <si>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</si>
  <si>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</si>
  <si>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</si>
  <si>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</si>
  <si>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</si>
  <si>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</si>
  <si>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</si>
  <si>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</si>
  <si>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</si>
  <si>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</si>
  <si>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</si>
  <si>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</si>
  <si>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</si>
  <si>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</si>
  <si>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</si>
  <si>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</si>
  <si>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</si>
  <si>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</si>
  <si>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</si>
  <si>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</si>
  <si>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</si>
  <si>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</si>
  <si>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</si>
  <si>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</si>
  <si>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</si>
  <si>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</si>
  <si>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</si>
  <si>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</si>
  <si>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</si>
  <si>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</si>
  <si>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</si>
  <si>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</si>
  <si>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</si>
  <si>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</si>
  <si>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</si>
  <si>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</si>
  <si>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</si>
  <si>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</si>
  <si>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KQ Per</t>
  </si>
  <si>
    <t>EA</t>
  </si>
  <si>
    <t>GCVS 4</t>
  </si>
  <si>
    <t>KQ Per / GSC 35748.5</t>
  </si>
  <si>
    <t>2429541.49 </t>
  </si>
  <si>
    <t> 04.10.1939 23:45 </t>
  </si>
  <si>
    <t> 1.16 </t>
  </si>
  <si>
    <t>P </t>
  </si>
  <si>
    <t> T.S.Meshkova </t>
  </si>
  <si>
    <t> AC 26.4 </t>
  </si>
  <si>
    <t>2429559.48 </t>
  </si>
  <si>
    <t> 22.10.1939 23:31 </t>
  </si>
  <si>
    <t> 0.33 </t>
  </si>
  <si>
    <t>2433183.50 </t>
  </si>
  <si>
    <t> 24.09.1949 00:00 </t>
  </si>
  <si>
    <t> 0.01 </t>
  </si>
  <si>
    <t> N.B.Perova </t>
  </si>
  <si>
    <t> PZ 12.66 </t>
  </si>
  <si>
    <t>2433210.43 </t>
  </si>
  <si>
    <t> 20.10.1949 22:19 </t>
  </si>
  <si>
    <t> 0.05 </t>
  </si>
  <si>
    <t>2433570.52 </t>
  </si>
  <si>
    <t> 16.10.1950 00:28 </t>
  </si>
  <si>
    <t> -0.15 </t>
  </si>
  <si>
    <t>2433979.38 </t>
  </si>
  <si>
    <t> 28.11.1951 21:07 </t>
  </si>
  <si>
    <t> 0.03 </t>
  </si>
  <si>
    <t>2435076.48 </t>
  </si>
  <si>
    <t> 29.11.1954 23:31 </t>
  </si>
  <si>
    <t> 0.15 </t>
  </si>
  <si>
    <t>2435431.50 </t>
  </si>
  <si>
    <t> 20.11.1955 00:00 </t>
  </si>
  <si>
    <t> 0.26 </t>
  </si>
  <si>
    <t>2435721.50 </t>
  </si>
  <si>
    <t> 05.09.1956 00:00 </t>
  </si>
  <si>
    <t> -0.11 </t>
  </si>
  <si>
    <t>V </t>
  </si>
  <si>
    <t> W.Zessewitsch </t>
  </si>
  <si>
    <t> AC 174.15 </t>
  </si>
  <si>
    <t>2435743.3 </t>
  </si>
  <si>
    <t> 26.09.1956 19:12 </t>
  </si>
  <si>
    <t> 0.2 </t>
  </si>
  <si>
    <t>2435748.50 </t>
  </si>
  <si>
    <t> 02.10.1956 00:00 </t>
  </si>
  <si>
    <t> 0.00 </t>
  </si>
  <si>
    <t>2455807.5186 </t>
  </si>
  <si>
    <t> 03.09.2011 00:26 </t>
  </si>
  <si>
    <t> 1.4285 </t>
  </si>
  <si>
    <t>C </t>
  </si>
  <si>
    <t>-I</t>
  </si>
  <si>
    <t> P.Frank </t>
  </si>
  <si>
    <t>BAVM 225 </t>
  </si>
  <si>
    <t>II</t>
  </si>
  <si>
    <t>I</t>
  </si>
  <si>
    <t>IBVS 6196</t>
  </si>
  <si>
    <t>IBVS 6244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</si>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</sst>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3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21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5" fillId="0" borderId="5" xfId="0" applyFont="1" applyBorder="1" applyAlignment="1">
      <alignment vertical="center"/>
    </xf>
    <xf numFmtId="0" fontId="16" fillId="0" borderId="5" xfId="0" applyNumberFormat="1" applyFont="1" applyBorder="1" applyAlignment="1">
      <alignment horizontal="left" vertical="center"/>
    </xf>
    <xf numFmtId="0" fontId="15" fillId="0" borderId="5" xfId="0" applyNumberFormat="1" applyFont="1" applyBorder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6" fillId="26" borderId="5" xfId="0" applyFont="1" applyFill="1" applyBorder="1" applyAlignment="1">
      <alignment horizontal="left" vertical="center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5" fillId="0" borderId="0" xfId="42" applyFont="1" applyAlignment="1">
      <alignment wrapText="1"/>
    </xf>
    <xf numFmtId="0" fontId="5" fillId="0" borderId="0" xfId="42" applyFont="1" applyAlignment="1">
      <alignment horizontal="center" wrapText="1"/>
    </xf>
    <xf numFmtId="0" fontId="5" fillId="0" borderId="0" xfId="42" applyFont="1" applyAlignment="1">
      <alignment horizontal="left" wrapText="1"/>
    </xf>
    <xf numFmtId="0" fontId="34" fillId="0" borderId="0" xfId="0" applyFont="1" applyAlignment="1"/>
    <xf numFmtId="0" fontId="34" fillId="0" borderId="0" xfId="0" applyFont="1" applyAlignment="1">
      <alignment horizontal="left"/>
    </xf>
    <xf numFmtId="0" fontId="34" fillId="27" borderId="0" xfId="0" applyFont="1" applyFill="1" applyAlignment="1"/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176" fontId="36" fillId="0" borderId="0" xfId="0" applyNumberFormat="1" applyFont="1" applyAlignment="1" applyProtection="1">
      <alignment vertical="center" wrapText="1"/>
      <protection locked="0"/>
    </xf>
    <xf numFmtId="0" fontId="34" fillId="0" borderId="0" xfId="0" applyFont="1" applyFill="1" applyAlignment="1"/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Per - O-C Diagr.</a:t>
            </a:r>
          </a:p>
        </c:rich>
      </c:tx>
      <c:layout>
        <c:manualLayout>
          <c:xMode val="edge"/>
          <c:yMode val="edge"/>
          <c:x val="0.3879699248120300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678942920199375"/>
          <c:w val="0.830075187969924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1.1636650000036752</c:v>
                </c:pt>
                <c:pt idx="2">
                  <c:v>0.33286999999836553</c:v>
                </c:pt>
                <c:pt idx="3">
                  <c:v>5.4900000031921081E-3</c:v>
                </c:pt>
                <c:pt idx="4">
                  <c:v>4.8640000000887085E-2</c:v>
                </c:pt>
                <c:pt idx="5">
                  <c:v>-0.1451500000039232</c:v>
                </c:pt>
                <c:pt idx="6">
                  <c:v>3.4729999999399297E-2</c:v>
                </c:pt>
                <c:pt idx="7">
                  <c:v>0.15125000000261934</c:v>
                </c:pt>
                <c:pt idx="8">
                  <c:v>0.26483000000007451</c:v>
                </c:pt>
                <c:pt idx="9">
                  <c:v>-0.11314999999740394</c:v>
                </c:pt>
                <c:pt idx="10">
                  <c:v>0.17737000000488479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82-4A50-B249-E4EC9EC394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82-4A50-B249-E4EC9EC394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82-4A50-B249-E4EC9EC394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1.4285000000018044</c:v>
                </c:pt>
                <c:pt idx="12">
                  <c:v>1.5080900000029942</c:v>
                </c:pt>
                <c:pt idx="13">
                  <c:v>1.473454999999376</c:v>
                </c:pt>
                <c:pt idx="14">
                  <c:v>1.3978500000011991</c:v>
                </c:pt>
                <c:pt idx="15">
                  <c:v>1.5789399999994203</c:v>
                </c:pt>
                <c:pt idx="16">
                  <c:v>1.6850500000000466</c:v>
                </c:pt>
                <c:pt idx="17">
                  <c:v>1.6914099999921746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82-4A50-B249-E4EC9EC394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82-4A50-B249-E4EC9EC394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82-4A50-B249-E4EC9EC394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82-4A50-B249-E4EC9EC394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0.31519569525200325</c:v>
                </c:pt>
                <c:pt idx="1">
                  <c:v>-1.9132276368050594E-2</c:v>
                </c:pt>
                <c:pt idx="2">
                  <c:v>-1.8118722534642029E-2</c:v>
                </c:pt>
                <c:pt idx="3">
                  <c:v>0.17706278709889309</c:v>
                </c:pt>
                <c:pt idx="4">
                  <c:v>0.17851072114661962</c:v>
                </c:pt>
                <c:pt idx="5">
                  <c:v>0.19791303738615501</c:v>
                </c:pt>
                <c:pt idx="6">
                  <c:v>0.21992163491159814</c:v>
                </c:pt>
                <c:pt idx="7">
                  <c:v>0.27899734405884019</c:v>
                </c:pt>
                <c:pt idx="8">
                  <c:v>0.29811007348883029</c:v>
                </c:pt>
                <c:pt idx="9">
                  <c:v>0.31374776120427672</c:v>
                </c:pt>
                <c:pt idx="10">
                  <c:v>0.31490610844245792</c:v>
                </c:pt>
                <c:pt idx="11">
                  <c:v>1.3953544948559884</c:v>
                </c:pt>
                <c:pt idx="12">
                  <c:v>1.4773075619573095</c:v>
                </c:pt>
                <c:pt idx="13">
                  <c:v>1.4846920256007148</c:v>
                </c:pt>
                <c:pt idx="14">
                  <c:v>1.3591561436628252</c:v>
                </c:pt>
                <c:pt idx="15">
                  <c:v>1.5048183088641134</c:v>
                </c:pt>
                <c:pt idx="16">
                  <c:v>1.602409063680881</c:v>
                </c:pt>
                <c:pt idx="17">
                  <c:v>1.6029882372999715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82-4A50-B249-E4EC9EC394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82-4A50-B249-E4EC9EC3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349928"/>
        <c:axId val="1"/>
      </c:scatterChart>
      <c:valAx>
        <c:axId val="57734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34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04921861831491"/>
          <c:w val="0.71428571428571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76B7E6-7717-DFB6-ACB0-061066345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9" sqref="F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51</v>
      </c>
      <c r="F1" s="51" t="s">
        <v>48</v>
      </c>
      <c r="G1" s="32">
        <v>3.5303199999999997</v>
      </c>
      <c r="H1" s="33">
        <v>52.205100000000002</v>
      </c>
      <c r="I1" s="34">
        <v>35748.5</v>
      </c>
      <c r="J1" s="34">
        <v>5.37737</v>
      </c>
      <c r="K1" s="31" t="s">
        <v>49</v>
      </c>
      <c r="L1" s="33"/>
      <c r="M1" s="34">
        <v>35748.5</v>
      </c>
      <c r="N1" s="34">
        <v>5.37737</v>
      </c>
      <c r="O1" s="37" t="s">
        <v>49</v>
      </c>
    </row>
    <row r="2" spans="1:15" x14ac:dyDescent="0.2">
      <c r="A2" t="s">
        <v>23</v>
      </c>
      <c r="B2" t="s">
        <v>49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>
        <v>35748.5</v>
      </c>
      <c r="D4" s="28">
        <v>5.37737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35748.5</v>
      </c>
      <c r="D7" s="29" t="s">
        <v>50</v>
      </c>
    </row>
    <row r="8" spans="1:15" x14ac:dyDescent="0.2">
      <c r="A8" t="s">
        <v>3</v>
      </c>
      <c r="C8" s="8">
        <v>5.37737</v>
      </c>
      <c r="D8" s="29" t="s">
        <v>50</v>
      </c>
    </row>
    <row r="9" spans="1:15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INTERCEPT(INDIRECT($E$9):G992,INDIRECT($D$9):F992)</f>
        <v>0.31519569525200325</v>
      </c>
      <c r="D11" s="3"/>
      <c r="E11" s="10"/>
    </row>
    <row r="12" spans="1:15" x14ac:dyDescent="0.2">
      <c r="A12" s="10" t="s">
        <v>16</v>
      </c>
      <c r="B12" s="10"/>
      <c r="C12" s="21">
        <f ca="1">SLOPE(INDIRECT($E$9):G992,INDIRECT($D$9):F992)</f>
        <v>2.8958680954530432E-4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</row>
    <row r="15" spans="1:15" x14ac:dyDescent="0.2">
      <c r="A15" s="12" t="s">
        <v>17</v>
      </c>
      <c r="B15" s="10"/>
      <c r="C15" s="13">
        <f ca="1">(C7+C11)+(C8+C12)*INT(MAX(F21:F3533))</f>
        <v>59663.267378237302</v>
      </c>
      <c r="E15" s="14" t="s">
        <v>34</v>
      </c>
      <c r="F15" s="35">
        <v>1</v>
      </c>
    </row>
    <row r="16" spans="1:15" x14ac:dyDescent="0.2">
      <c r="A16" s="16" t="s">
        <v>4</v>
      </c>
      <c r="B16" s="10"/>
      <c r="C16" s="17">
        <f ca="1">+C8+C12</f>
        <v>5.3776595868095454</v>
      </c>
      <c r="E16" s="14" t="s">
        <v>30</v>
      </c>
      <c r="F16" s="36">
        <f ca="1">NOW()+15018.5+$C$5/24</f>
        <v>60173.800465277774</v>
      </c>
    </row>
    <row r="17" spans="1:21" ht="13.5" thickBot="1" x14ac:dyDescent="0.25">
      <c r="A17" s="14" t="s">
        <v>27</v>
      </c>
      <c r="B17" s="10"/>
      <c r="C17" s="10">
        <f>COUNT(C21:C2191)</f>
        <v>18</v>
      </c>
      <c r="E17" s="14" t="s">
        <v>35</v>
      </c>
      <c r="F17" s="15">
        <f ca="1">ROUND(2*(F16-$C$7)/$C$8,0)/2+F15</f>
        <v>4543</v>
      </c>
    </row>
    <row r="18" spans="1:21" ht="14.25" thickTop="1" thickBot="1" x14ac:dyDescent="0.25">
      <c r="A18" s="16" t="s">
        <v>5</v>
      </c>
      <c r="B18" s="10"/>
      <c r="C18" s="19">
        <f ca="1">+C15</f>
        <v>59663.267378237302</v>
      </c>
      <c r="D18" s="20">
        <f ca="1">+C16</f>
        <v>5.3776595868095454</v>
      </c>
      <c r="E18" s="14" t="s">
        <v>36</v>
      </c>
      <c r="F18" s="23">
        <f ca="1">ROUND(2*(F16-$C$15)/$C$16,0)/2+F15</f>
        <v>96</v>
      </c>
    </row>
    <row r="19" spans="1:21" ht="13.5" thickTop="1" x14ac:dyDescent="0.2">
      <c r="E19" s="14" t="s">
        <v>31</v>
      </c>
      <c r="F19" s="18">
        <f ca="1">+$C$15+$C$16*F18-15018.5-$C$5/24</f>
        <v>45161.418531904354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50</v>
      </c>
      <c r="C21" s="8">
        <v>35748.5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0.31519569525200325</v>
      </c>
      <c r="Q21" s="2">
        <f>+C21-15018.5</f>
        <v>20730</v>
      </c>
    </row>
    <row r="22" spans="1:21" x14ac:dyDescent="0.2">
      <c r="A22" s="52" t="s">
        <v>57</v>
      </c>
      <c r="B22" s="54" t="s">
        <v>100</v>
      </c>
      <c r="C22" s="53">
        <v>29541.49</v>
      </c>
      <c r="D22" s="8"/>
      <c r="E22">
        <f t="shared" ref="E22:E32" si="0">+(C22-C$7)/C$8</f>
        <v>-1154.2835996035233</v>
      </c>
      <c r="F22">
        <f t="shared" ref="F22:F31" si="1">ROUND(2*E22,0)/2</f>
        <v>-1154.5</v>
      </c>
      <c r="G22">
        <f t="shared" ref="G22:G32" si="2">+C22-(C$7+F22*C$8)</f>
        <v>1.1636650000036752</v>
      </c>
      <c r="H22">
        <f t="shared" ref="H22:H31" si="3">+G22</f>
        <v>1.1636650000036752</v>
      </c>
      <c r="O22">
        <f t="shared" ref="O22:O32" ca="1" si="4">+C$11+C$12*$F22</f>
        <v>-1.9132276368050594E-2</v>
      </c>
      <c r="Q22" s="2">
        <f t="shared" ref="Q22:Q32" si="5">+C22-15018.5</f>
        <v>14522.990000000002</v>
      </c>
    </row>
    <row r="23" spans="1:21" x14ac:dyDescent="0.2">
      <c r="A23" s="52" t="s">
        <v>57</v>
      </c>
      <c r="B23" s="54" t="s">
        <v>101</v>
      </c>
      <c r="C23" s="53">
        <v>29559.48</v>
      </c>
      <c r="D23" s="8"/>
      <c r="E23">
        <f t="shared" si="0"/>
        <v>-1150.9380979921411</v>
      </c>
      <c r="F23">
        <f t="shared" si="1"/>
        <v>-1151</v>
      </c>
      <c r="G23">
        <f t="shared" si="2"/>
        <v>0.33286999999836553</v>
      </c>
      <c r="H23">
        <f t="shared" si="3"/>
        <v>0.33286999999836553</v>
      </c>
      <c r="O23">
        <f t="shared" ca="1" si="4"/>
        <v>-1.8118722534642029E-2</v>
      </c>
      <c r="Q23" s="2">
        <f t="shared" si="5"/>
        <v>14540.98</v>
      </c>
    </row>
    <row r="24" spans="1:21" x14ac:dyDescent="0.2">
      <c r="A24" s="52" t="s">
        <v>65</v>
      </c>
      <c r="B24" s="54" t="s">
        <v>101</v>
      </c>
      <c r="C24" s="53">
        <v>33183.5</v>
      </c>
      <c r="D24" s="8"/>
      <c r="E24">
        <f t="shared" si="0"/>
        <v>-476.99897905481674</v>
      </c>
      <c r="F24">
        <f t="shared" si="1"/>
        <v>-477</v>
      </c>
      <c r="G24">
        <f t="shared" si="2"/>
        <v>5.4900000031921081E-3</v>
      </c>
      <c r="H24">
        <f t="shared" si="3"/>
        <v>5.4900000031921081E-3</v>
      </c>
      <c r="O24">
        <f t="shared" ca="1" si="4"/>
        <v>0.17706278709889309</v>
      </c>
      <c r="Q24" s="2">
        <f t="shared" si="5"/>
        <v>18165</v>
      </c>
    </row>
    <row r="25" spans="1:21" x14ac:dyDescent="0.2">
      <c r="A25" s="52" t="s">
        <v>65</v>
      </c>
      <c r="B25" s="54" t="s">
        <v>101</v>
      </c>
      <c r="C25" s="53">
        <v>33210.43</v>
      </c>
      <c r="D25" s="8"/>
      <c r="E25">
        <f t="shared" si="0"/>
        <v>-471.99095468602678</v>
      </c>
      <c r="F25">
        <f t="shared" si="1"/>
        <v>-472</v>
      </c>
      <c r="G25">
        <f t="shared" si="2"/>
        <v>4.8640000000887085E-2</v>
      </c>
      <c r="H25">
        <f t="shared" si="3"/>
        <v>4.8640000000887085E-2</v>
      </c>
      <c r="O25">
        <f t="shared" ca="1" si="4"/>
        <v>0.17851072114661962</v>
      </c>
      <c r="Q25" s="2">
        <f t="shared" si="5"/>
        <v>18191.93</v>
      </c>
    </row>
    <row r="26" spans="1:21" x14ac:dyDescent="0.2">
      <c r="A26" s="52" t="s">
        <v>65</v>
      </c>
      <c r="B26" s="54" t="s">
        <v>101</v>
      </c>
      <c r="C26" s="53">
        <v>33570.519999999997</v>
      </c>
      <c r="D26" s="8"/>
      <c r="E26">
        <f t="shared" si="0"/>
        <v>-405.02699274924419</v>
      </c>
      <c r="F26">
        <f t="shared" si="1"/>
        <v>-405</v>
      </c>
      <c r="G26">
        <f t="shared" si="2"/>
        <v>-0.1451500000039232</v>
      </c>
      <c r="H26">
        <f t="shared" si="3"/>
        <v>-0.1451500000039232</v>
      </c>
      <c r="O26">
        <f t="shared" ca="1" si="4"/>
        <v>0.19791303738615501</v>
      </c>
      <c r="Q26" s="2">
        <f t="shared" si="5"/>
        <v>18552.019999999997</v>
      </c>
    </row>
    <row r="27" spans="1:21" x14ac:dyDescent="0.2">
      <c r="A27" s="52" t="s">
        <v>65</v>
      </c>
      <c r="B27" s="54" t="s">
        <v>101</v>
      </c>
      <c r="C27" s="53">
        <v>33979.379999999997</v>
      </c>
      <c r="D27" s="8"/>
      <c r="E27">
        <f t="shared" si="0"/>
        <v>-328.99354145242052</v>
      </c>
      <c r="F27">
        <f t="shared" si="1"/>
        <v>-329</v>
      </c>
      <c r="G27">
        <f t="shared" si="2"/>
        <v>3.4729999999399297E-2</v>
      </c>
      <c r="H27">
        <f t="shared" si="3"/>
        <v>3.4729999999399297E-2</v>
      </c>
      <c r="O27">
        <f t="shared" ca="1" si="4"/>
        <v>0.21992163491159814</v>
      </c>
      <c r="Q27" s="2">
        <f t="shared" si="5"/>
        <v>18960.879999999997</v>
      </c>
    </row>
    <row r="28" spans="1:21" x14ac:dyDescent="0.2">
      <c r="A28" s="52" t="s">
        <v>65</v>
      </c>
      <c r="B28" s="54" t="s">
        <v>101</v>
      </c>
      <c r="C28" s="53">
        <v>35076.480000000003</v>
      </c>
      <c r="D28" s="8"/>
      <c r="E28">
        <f t="shared" si="0"/>
        <v>-124.97187286721888</v>
      </c>
      <c r="F28">
        <f t="shared" si="1"/>
        <v>-125</v>
      </c>
      <c r="G28">
        <f t="shared" si="2"/>
        <v>0.15125000000261934</v>
      </c>
      <c r="H28">
        <f t="shared" si="3"/>
        <v>0.15125000000261934</v>
      </c>
      <c r="O28">
        <f t="shared" ca="1" si="4"/>
        <v>0.27899734405884019</v>
      </c>
      <c r="Q28" s="2">
        <f t="shared" si="5"/>
        <v>20057.980000000003</v>
      </c>
    </row>
    <row r="29" spans="1:21" x14ac:dyDescent="0.2">
      <c r="A29" s="52" t="s">
        <v>65</v>
      </c>
      <c r="B29" s="54" t="s">
        <v>101</v>
      </c>
      <c r="C29" s="53">
        <v>35431.5</v>
      </c>
      <c r="D29" s="8"/>
      <c r="E29">
        <f t="shared" si="0"/>
        <v>-58.950751017690806</v>
      </c>
      <c r="F29">
        <f t="shared" si="1"/>
        <v>-59</v>
      </c>
      <c r="G29">
        <f t="shared" si="2"/>
        <v>0.26483000000007451</v>
      </c>
      <c r="H29">
        <f t="shared" si="3"/>
        <v>0.26483000000007451</v>
      </c>
      <c r="O29">
        <f t="shared" ca="1" si="4"/>
        <v>0.29811007348883029</v>
      </c>
      <c r="Q29" s="2">
        <f t="shared" si="5"/>
        <v>20413</v>
      </c>
    </row>
    <row r="30" spans="1:21" x14ac:dyDescent="0.2">
      <c r="A30" s="52" t="s">
        <v>86</v>
      </c>
      <c r="B30" s="54" t="s">
        <v>101</v>
      </c>
      <c r="C30" s="53">
        <v>35721.5</v>
      </c>
      <c r="D30" s="8"/>
      <c r="E30">
        <f t="shared" si="0"/>
        <v>-5.0210418847875449</v>
      </c>
      <c r="F30">
        <f t="shared" si="1"/>
        <v>-5</v>
      </c>
      <c r="G30">
        <f t="shared" si="2"/>
        <v>-0.11314999999740394</v>
      </c>
      <c r="H30">
        <f t="shared" si="3"/>
        <v>-0.11314999999740394</v>
      </c>
      <c r="O30">
        <f t="shared" ca="1" si="4"/>
        <v>0.31374776120427672</v>
      </c>
      <c r="Q30" s="2">
        <f t="shared" si="5"/>
        <v>20703</v>
      </c>
    </row>
    <row r="31" spans="1:21" x14ac:dyDescent="0.2">
      <c r="A31" s="52" t="s">
        <v>86</v>
      </c>
      <c r="B31" s="54" t="s">
        <v>101</v>
      </c>
      <c r="C31" s="53">
        <v>35743.300000000003</v>
      </c>
      <c r="D31" s="8"/>
      <c r="E31">
        <f t="shared" si="0"/>
        <v>-0.96701547410668964</v>
      </c>
      <c r="F31">
        <f t="shared" si="1"/>
        <v>-1</v>
      </c>
      <c r="G31">
        <f t="shared" si="2"/>
        <v>0.17737000000488479</v>
      </c>
      <c r="H31">
        <f t="shared" si="3"/>
        <v>0.17737000000488479</v>
      </c>
      <c r="O31">
        <f t="shared" ca="1" si="4"/>
        <v>0.31490610844245792</v>
      </c>
      <c r="Q31" s="2">
        <f t="shared" si="5"/>
        <v>20724.800000000003</v>
      </c>
    </row>
    <row r="32" spans="1:21" x14ac:dyDescent="0.2">
      <c r="A32" s="52" t="s">
        <v>99</v>
      </c>
      <c r="B32" s="54" t="s">
        <v>101</v>
      </c>
      <c r="C32" s="53">
        <v>55807.518600000003</v>
      </c>
      <c r="D32" s="8"/>
      <c r="E32">
        <f t="shared" si="0"/>
        <v>3730.2656503086087</v>
      </c>
      <c r="F32" s="60">
        <f>ROUND(2*E32,0)/2-0.5</f>
        <v>3730</v>
      </c>
      <c r="G32">
        <f t="shared" si="2"/>
        <v>1.4285000000018044</v>
      </c>
      <c r="K32">
        <f>+G32</f>
        <v>1.4285000000018044</v>
      </c>
      <c r="O32">
        <f t="shared" ca="1" si="4"/>
        <v>1.3953544948559884</v>
      </c>
      <c r="Q32" s="2">
        <f t="shared" si="5"/>
        <v>40789.018600000003</v>
      </c>
    </row>
    <row r="33" spans="1:17" x14ac:dyDescent="0.2">
      <c r="A33" s="55" t="s">
        <v>102</v>
      </c>
      <c r="B33" s="56" t="s">
        <v>101</v>
      </c>
      <c r="C33" s="57">
        <v>57329.393900000003</v>
      </c>
      <c r="D33" s="57">
        <v>5.0000000000000001E-4</v>
      </c>
      <c r="E33">
        <f>+(C33-C$7)/C$8</f>
        <v>4013.2804512242978</v>
      </c>
      <c r="F33" s="60">
        <f>ROUND(2*E33,0)/2-0.5</f>
        <v>4013</v>
      </c>
      <c r="G33">
        <f>+C33-(C$7+F33*C$8)</f>
        <v>1.5080900000029942</v>
      </c>
      <c r="K33">
        <f>+G33</f>
        <v>1.5080900000029942</v>
      </c>
      <c r="O33">
        <f ca="1">+C$11+C$12*$F33</f>
        <v>1.4773075619573095</v>
      </c>
      <c r="Q33" s="2">
        <f>+C33-15018.5</f>
        <v>42310.893900000003</v>
      </c>
    </row>
    <row r="34" spans="1:17" x14ac:dyDescent="0.2">
      <c r="A34" s="55" t="s">
        <v>102</v>
      </c>
      <c r="B34" s="56" t="s">
        <v>100</v>
      </c>
      <c r="C34" s="57">
        <v>57466.482199999999</v>
      </c>
      <c r="D34" s="57">
        <v>2E-3</v>
      </c>
      <c r="E34">
        <f>+(C34-C$7)/C$8</f>
        <v>4038.7740103433462</v>
      </c>
      <c r="F34" s="60">
        <f>ROUND(2*E34,0)/2-0.5</f>
        <v>4038.5</v>
      </c>
      <c r="G34">
        <f>+C34-(C$7+F34*C$8)</f>
        <v>1.473454999999376</v>
      </c>
      <c r="K34">
        <f>+G34</f>
        <v>1.473454999999376</v>
      </c>
      <c r="O34">
        <f ca="1">+C$11+C$12*$F34</f>
        <v>1.4846920256007148</v>
      </c>
      <c r="Q34" s="2">
        <f>+C34-15018.5</f>
        <v>42447.982199999999</v>
      </c>
    </row>
    <row r="35" spans="1:17" x14ac:dyDescent="0.2">
      <c r="A35" s="55" t="s">
        <v>102</v>
      </c>
      <c r="B35" s="56" t="s">
        <v>101</v>
      </c>
      <c r="C35" s="57">
        <v>55135.316700000003</v>
      </c>
      <c r="D35" s="57">
        <v>0.02</v>
      </c>
      <c r="E35">
        <f>+(C35-C$7)/C$8</f>
        <v>3605.2599504962468</v>
      </c>
      <c r="F35" s="60">
        <f>ROUND(2*E35,0)/2-0.5</f>
        <v>3605</v>
      </c>
      <c r="G35">
        <f>+C35-(C$7+F35*C$8)</f>
        <v>1.3978500000011991</v>
      </c>
      <c r="K35">
        <f>+G35</f>
        <v>1.3978500000011991</v>
      </c>
      <c r="O35">
        <f ca="1">+C$11+C$12*$F35</f>
        <v>1.3591561436628252</v>
      </c>
      <c r="Q35" s="2">
        <f>+C35-15018.5</f>
        <v>40116.816700000003</v>
      </c>
    </row>
    <row r="36" spans="1:17" x14ac:dyDescent="0.2">
      <c r="A36" s="58" t="s">
        <v>103</v>
      </c>
      <c r="B36" s="58" t="s">
        <v>101</v>
      </c>
      <c r="C36" s="59">
        <v>57840.314899999998</v>
      </c>
      <c r="D36" s="59">
        <v>1.8E-3</v>
      </c>
      <c r="E36">
        <f>+(C36-C$7)/C$8</f>
        <v>4108.2936268101321</v>
      </c>
      <c r="F36" s="60">
        <f>ROUND(2*E36,0)/2-0.5</f>
        <v>4108</v>
      </c>
      <c r="G36">
        <f>+C36-(C$7+F36*C$8)</f>
        <v>1.5789399999994203</v>
      </c>
      <c r="K36">
        <f>+G36</f>
        <v>1.5789399999994203</v>
      </c>
      <c r="O36">
        <f ca="1">+C$11+C$12*$F36</f>
        <v>1.5048183088641134</v>
      </c>
      <c r="Q36" s="2">
        <f>+C36-15018.5</f>
        <v>42821.814899999998</v>
      </c>
    </row>
    <row r="37" spans="1:17" x14ac:dyDescent="0.2">
      <c r="A37" s="61" t="s">
        <v>104</v>
      </c>
      <c r="B37" s="62" t="s">
        <v>101</v>
      </c>
      <c r="C37" s="63">
        <v>59652.594700000001</v>
      </c>
      <c r="D37" s="61">
        <v>1.04E-2</v>
      </c>
      <c r="E37">
        <f t="shared" ref="E37:E38" si="6">+(C37-C$7)/C$8</f>
        <v>4445.3133595047393</v>
      </c>
      <c r="F37" s="64">
        <f t="shared" ref="F37:F38" si="7">ROUND(2*E37,0)/2-0.5</f>
        <v>4445</v>
      </c>
      <c r="G37">
        <f t="shared" ref="G37:G38" si="8">+C37-(C$7+F37*C$8)</f>
        <v>1.6850500000000466</v>
      </c>
      <c r="K37">
        <f t="shared" ref="K37:K38" si="9">+G37</f>
        <v>1.6850500000000466</v>
      </c>
      <c r="O37">
        <f t="shared" ref="O37:O38" ca="1" si="10">+C$11+C$12*$F37</f>
        <v>1.602409063680881</v>
      </c>
      <c r="Q37" s="2">
        <f t="shared" ref="Q37:Q38" si="11">+C37-15018.5</f>
        <v>44634.094700000001</v>
      </c>
    </row>
    <row r="38" spans="1:17" x14ac:dyDescent="0.2">
      <c r="A38" s="61" t="s">
        <v>104</v>
      </c>
      <c r="B38" s="62" t="s">
        <v>101</v>
      </c>
      <c r="C38" s="63">
        <v>59663.355799999998</v>
      </c>
      <c r="D38" s="61">
        <v>6.8999999999999999E-3</v>
      </c>
      <c r="E38">
        <f t="shared" si="6"/>
        <v>4447.3145422390498</v>
      </c>
      <c r="F38" s="64">
        <f t="shared" si="7"/>
        <v>4447</v>
      </c>
      <c r="G38">
        <f t="shared" si="8"/>
        <v>1.6914099999921746</v>
      </c>
      <c r="K38">
        <f t="shared" si="9"/>
        <v>1.6914099999921746</v>
      </c>
      <c r="O38">
        <f t="shared" ca="1" si="10"/>
        <v>1.6029882372999715</v>
      </c>
      <c r="Q38" s="2">
        <f t="shared" si="11"/>
        <v>44644.855799999998</v>
      </c>
    </row>
    <row r="39" spans="1:17" x14ac:dyDescent="0.2">
      <c r="C39" s="8"/>
      <c r="D39" s="8"/>
    </row>
    <row r="40" spans="1:17" x14ac:dyDescent="0.2">
      <c r="C40" s="8"/>
      <c r="D40" s="8"/>
    </row>
    <row r="41" spans="1:17" x14ac:dyDescent="0.2">
      <c r="C41" s="8"/>
      <c r="D41" s="8"/>
    </row>
    <row r="42" spans="1:17" x14ac:dyDescent="0.2">
      <c r="C42" s="8"/>
      <c r="D42" s="8"/>
    </row>
    <row r="43" spans="1:17" x14ac:dyDescent="0.2">
      <c r="C43" s="8"/>
      <c r="D43" s="8"/>
    </row>
    <row r="44" spans="1:17" x14ac:dyDescent="0.2">
      <c r="C44" s="8"/>
      <c r="D44" s="8"/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82"/>
  <sheetViews>
    <sheetView workbookViewId="0">
      <selection activeCell="A12" sqref="A12:C22"/>
    </sheetView>
  </sheetViews>
  <sheetFormatPr defaultRowHeight="12.75" x14ac:dyDescent="0.2"/>
  <cols>
    <col min="1" max="1" width="19.7109375" style="8" customWidth="1"/>
    <col min="2" max="2" width="4.42578125" style="10" customWidth="1"/>
    <col min="3" max="3" width="12.7109375" style="8" customWidth="1"/>
    <col min="4" max="4" width="5.42578125" style="10" customWidth="1"/>
    <col min="5" max="5" width="14.85546875" style="10" customWidth="1"/>
    <col min="6" max="6" width="9.140625" style="10"/>
    <col min="7" max="7" width="12" style="10" customWidth="1"/>
    <col min="8" max="8" width="14.140625" style="8" customWidth="1"/>
    <col min="9" max="9" width="22.5703125" style="10" customWidth="1"/>
    <col min="10" max="10" width="25.140625" style="10" customWidth="1"/>
    <col min="11" max="11" width="15.7109375" style="10" customWidth="1"/>
    <col min="12" max="12" width="14.140625" style="10" customWidth="1"/>
    <col min="13" max="13" width="9.5703125" style="10" customWidth="1"/>
    <col min="14" max="14" width="14.140625" style="10" customWidth="1"/>
    <col min="15" max="15" width="23.42578125" style="10" customWidth="1"/>
    <col min="16" max="16" width="16.5703125" style="10" customWidth="1"/>
    <col min="17" max="17" width="41" style="10" customWidth="1"/>
    <col min="18" max="16384" width="9.140625" style="10"/>
  </cols>
  <sheetData>
    <row r="1" spans="1:16" ht="15.75" x14ac:dyDescent="0.25">
      <c r="A1" s="38" t="s">
        <v>41</v>
      </c>
      <c r="I1" s="39" t="s">
        <v>42</v>
      </c>
      <c r="J1" s="40" t="s">
        <v>40</v>
      </c>
    </row>
    <row r="2" spans="1:16" x14ac:dyDescent="0.2">
      <c r="I2" s="41" t="s">
        <v>43</v>
      </c>
      <c r="J2" s="42" t="s">
        <v>39</v>
      </c>
    </row>
    <row r="3" spans="1:16" x14ac:dyDescent="0.2">
      <c r="A3" s="43" t="s">
        <v>44</v>
      </c>
      <c r="I3" s="41" t="s">
        <v>45</v>
      </c>
      <c r="J3" s="42" t="s">
        <v>37</v>
      </c>
    </row>
    <row r="4" spans="1:16" x14ac:dyDescent="0.2">
      <c r="I4" s="41" t="s">
        <v>46</v>
      </c>
      <c r="J4" s="42" t="s">
        <v>37</v>
      </c>
    </row>
    <row r="5" spans="1:16" ht="13.5" thickBot="1" x14ac:dyDescent="0.25">
      <c r="I5" s="44" t="s">
        <v>47</v>
      </c>
      <c r="J5" s="45" t="s">
        <v>38</v>
      </c>
    </row>
    <row r="10" spans="1:16" ht="13.5" thickBot="1" x14ac:dyDescent="0.25"/>
    <row r="11" spans="1:16" ht="12.75" customHeight="1" thickBot="1" x14ac:dyDescent="0.25">
      <c r="A11" s="8" t="str">
        <f t="shared" ref="A11:A22" si="0">P11</f>
        <v> AC 174.15 </v>
      </c>
      <c r="B11" s="3" t="str">
        <f t="shared" ref="B11:B22" si="1">IF(H11=INT(H11),"I","II")</f>
        <v>I</v>
      </c>
      <c r="C11" s="8">
        <f t="shared" ref="C11:C22" si="2">1*G11</f>
        <v>35748.5</v>
      </c>
      <c r="D11" s="10" t="str">
        <f t="shared" ref="D11:D22" si="3">VLOOKUP(F11,I$1:J$5,2,FALSE)</f>
        <v>vis</v>
      </c>
      <c r="E11" s="46">
        <f>VLOOKUP(C11,Active!C$21:E$973,3,FALSE)</f>
        <v>0</v>
      </c>
      <c r="F11" s="3" t="s">
        <v>47</v>
      </c>
      <c r="G11" s="10" t="str">
        <f t="shared" ref="G11:G22" si="4">MID(I11,3,LEN(I11)-3)</f>
        <v>35748.50</v>
      </c>
      <c r="H11" s="8">
        <f t="shared" ref="H11:H22" si="5">1*K11</f>
        <v>0</v>
      </c>
      <c r="I11" s="47" t="s">
        <v>90</v>
      </c>
      <c r="J11" s="48" t="s">
        <v>91</v>
      </c>
      <c r="K11" s="47">
        <v>0</v>
      </c>
      <c r="L11" s="47" t="s">
        <v>92</v>
      </c>
      <c r="M11" s="48" t="s">
        <v>84</v>
      </c>
      <c r="N11" s="48"/>
      <c r="O11" s="49" t="s">
        <v>85</v>
      </c>
      <c r="P11" s="49" t="s">
        <v>86</v>
      </c>
    </row>
    <row r="12" spans="1:16" ht="12.75" customHeight="1" thickBot="1" x14ac:dyDescent="0.25">
      <c r="A12" s="8" t="str">
        <f t="shared" si="0"/>
        <v> AC 26.4 </v>
      </c>
      <c r="B12" s="3" t="str">
        <f t="shared" si="1"/>
        <v>II</v>
      </c>
      <c r="C12" s="8">
        <f t="shared" si="2"/>
        <v>29541.49</v>
      </c>
      <c r="D12" s="10" t="str">
        <f t="shared" si="3"/>
        <v>vis</v>
      </c>
      <c r="E12" s="46">
        <f>VLOOKUP(C12,Active!C$21:E$973,3,FALSE)</f>
        <v>-1154.2835996035233</v>
      </c>
      <c r="F12" s="3" t="s">
        <v>47</v>
      </c>
      <c r="G12" s="10" t="str">
        <f t="shared" si="4"/>
        <v>29541.49</v>
      </c>
      <c r="H12" s="8">
        <f t="shared" si="5"/>
        <v>-1154.5</v>
      </c>
      <c r="I12" s="47" t="s">
        <v>52</v>
      </c>
      <c r="J12" s="48" t="s">
        <v>53</v>
      </c>
      <c r="K12" s="47">
        <v>-1154.5</v>
      </c>
      <c r="L12" s="47" t="s">
        <v>54</v>
      </c>
      <c r="M12" s="48" t="s">
        <v>55</v>
      </c>
      <c r="N12" s="48"/>
      <c r="O12" s="49" t="s">
        <v>56</v>
      </c>
      <c r="P12" s="49" t="s">
        <v>57</v>
      </c>
    </row>
    <row r="13" spans="1:16" ht="12.75" customHeight="1" thickBot="1" x14ac:dyDescent="0.25">
      <c r="A13" s="8" t="str">
        <f t="shared" si="0"/>
        <v> AC 26.4 </v>
      </c>
      <c r="B13" s="3" t="str">
        <f t="shared" si="1"/>
        <v>I</v>
      </c>
      <c r="C13" s="8">
        <f t="shared" si="2"/>
        <v>29559.48</v>
      </c>
      <c r="D13" s="10" t="str">
        <f t="shared" si="3"/>
        <v>vis</v>
      </c>
      <c r="E13" s="46">
        <f>VLOOKUP(C13,Active!C$21:E$973,3,FALSE)</f>
        <v>-1150.9380979921411</v>
      </c>
      <c r="F13" s="3" t="s">
        <v>47</v>
      </c>
      <c r="G13" s="10" t="str">
        <f t="shared" si="4"/>
        <v>29559.48</v>
      </c>
      <c r="H13" s="8">
        <f t="shared" si="5"/>
        <v>-1151</v>
      </c>
      <c r="I13" s="47" t="s">
        <v>58</v>
      </c>
      <c r="J13" s="48" t="s">
        <v>59</v>
      </c>
      <c r="K13" s="47">
        <v>-1151</v>
      </c>
      <c r="L13" s="47" t="s">
        <v>60</v>
      </c>
      <c r="M13" s="48" t="s">
        <v>55</v>
      </c>
      <c r="N13" s="48"/>
      <c r="O13" s="49" t="s">
        <v>56</v>
      </c>
      <c r="P13" s="49" t="s">
        <v>57</v>
      </c>
    </row>
    <row r="14" spans="1:16" ht="12.75" customHeight="1" thickBot="1" x14ac:dyDescent="0.25">
      <c r="A14" s="8" t="str">
        <f t="shared" si="0"/>
        <v> PZ 12.66 </v>
      </c>
      <c r="B14" s="3" t="str">
        <f t="shared" si="1"/>
        <v>I</v>
      </c>
      <c r="C14" s="8">
        <f t="shared" si="2"/>
        <v>33183.5</v>
      </c>
      <c r="D14" s="10" t="str">
        <f t="shared" si="3"/>
        <v>vis</v>
      </c>
      <c r="E14" s="46">
        <f>VLOOKUP(C14,Active!C$21:E$973,3,FALSE)</f>
        <v>-476.99897905481674</v>
      </c>
      <c r="F14" s="3" t="s">
        <v>47</v>
      </c>
      <c r="G14" s="10" t="str">
        <f t="shared" si="4"/>
        <v>33183.50</v>
      </c>
      <c r="H14" s="8">
        <f t="shared" si="5"/>
        <v>-477</v>
      </c>
      <c r="I14" s="47" t="s">
        <v>61</v>
      </c>
      <c r="J14" s="48" t="s">
        <v>62</v>
      </c>
      <c r="K14" s="47">
        <v>-477</v>
      </c>
      <c r="L14" s="47" t="s">
        <v>63</v>
      </c>
      <c r="M14" s="48" t="s">
        <v>55</v>
      </c>
      <c r="N14" s="48"/>
      <c r="O14" s="49" t="s">
        <v>64</v>
      </c>
      <c r="P14" s="49" t="s">
        <v>65</v>
      </c>
    </row>
    <row r="15" spans="1:16" ht="12.75" customHeight="1" thickBot="1" x14ac:dyDescent="0.25">
      <c r="A15" s="8" t="str">
        <f t="shared" si="0"/>
        <v> PZ 12.66 </v>
      </c>
      <c r="B15" s="3" t="str">
        <f t="shared" si="1"/>
        <v>I</v>
      </c>
      <c r="C15" s="8">
        <f t="shared" si="2"/>
        <v>33210.43</v>
      </c>
      <c r="D15" s="10" t="str">
        <f t="shared" si="3"/>
        <v>vis</v>
      </c>
      <c r="E15" s="46">
        <f>VLOOKUP(C15,Active!C$21:E$973,3,FALSE)</f>
        <v>-471.99095468602678</v>
      </c>
      <c r="F15" s="3" t="s">
        <v>47</v>
      </c>
      <c r="G15" s="10" t="str">
        <f t="shared" si="4"/>
        <v>33210.43</v>
      </c>
      <c r="H15" s="8">
        <f t="shared" si="5"/>
        <v>-472</v>
      </c>
      <c r="I15" s="47" t="s">
        <v>66</v>
      </c>
      <c r="J15" s="48" t="s">
        <v>67</v>
      </c>
      <c r="K15" s="47">
        <v>-472</v>
      </c>
      <c r="L15" s="47" t="s">
        <v>68</v>
      </c>
      <c r="M15" s="48" t="s">
        <v>55</v>
      </c>
      <c r="N15" s="48"/>
      <c r="O15" s="49" t="s">
        <v>64</v>
      </c>
      <c r="P15" s="49" t="s">
        <v>65</v>
      </c>
    </row>
    <row r="16" spans="1:16" ht="12.75" customHeight="1" thickBot="1" x14ac:dyDescent="0.25">
      <c r="A16" s="8" t="str">
        <f t="shared" si="0"/>
        <v> PZ 12.66 </v>
      </c>
      <c r="B16" s="3" t="str">
        <f t="shared" si="1"/>
        <v>I</v>
      </c>
      <c r="C16" s="8">
        <f t="shared" si="2"/>
        <v>33570.519999999997</v>
      </c>
      <c r="D16" s="10" t="str">
        <f t="shared" si="3"/>
        <v>vis</v>
      </c>
      <c r="E16" s="46">
        <f>VLOOKUP(C16,Active!C$21:E$973,3,FALSE)</f>
        <v>-405.02699274924419</v>
      </c>
      <c r="F16" s="3" t="s">
        <v>47</v>
      </c>
      <c r="G16" s="10" t="str">
        <f t="shared" si="4"/>
        <v>33570.52</v>
      </c>
      <c r="H16" s="8">
        <f t="shared" si="5"/>
        <v>-405</v>
      </c>
      <c r="I16" s="47" t="s">
        <v>69</v>
      </c>
      <c r="J16" s="48" t="s">
        <v>70</v>
      </c>
      <c r="K16" s="47">
        <v>-405</v>
      </c>
      <c r="L16" s="47" t="s">
        <v>71</v>
      </c>
      <c r="M16" s="48" t="s">
        <v>55</v>
      </c>
      <c r="N16" s="48"/>
      <c r="O16" s="49" t="s">
        <v>64</v>
      </c>
      <c r="P16" s="49" t="s">
        <v>65</v>
      </c>
    </row>
    <row r="17" spans="1:16" ht="12.75" customHeight="1" thickBot="1" x14ac:dyDescent="0.25">
      <c r="A17" s="8" t="str">
        <f t="shared" si="0"/>
        <v> PZ 12.66 </v>
      </c>
      <c r="B17" s="3" t="str">
        <f t="shared" si="1"/>
        <v>I</v>
      </c>
      <c r="C17" s="8">
        <f t="shared" si="2"/>
        <v>33979.379999999997</v>
      </c>
      <c r="D17" s="10" t="str">
        <f t="shared" si="3"/>
        <v>vis</v>
      </c>
      <c r="E17" s="46">
        <f>VLOOKUP(C17,Active!C$21:E$973,3,FALSE)</f>
        <v>-328.99354145242052</v>
      </c>
      <c r="F17" s="3" t="s">
        <v>47</v>
      </c>
      <c r="G17" s="10" t="str">
        <f t="shared" si="4"/>
        <v>33979.38</v>
      </c>
      <c r="H17" s="8">
        <f t="shared" si="5"/>
        <v>-329</v>
      </c>
      <c r="I17" s="47" t="s">
        <v>72</v>
      </c>
      <c r="J17" s="48" t="s">
        <v>73</v>
      </c>
      <c r="K17" s="47">
        <v>-329</v>
      </c>
      <c r="L17" s="47" t="s">
        <v>74</v>
      </c>
      <c r="M17" s="48" t="s">
        <v>55</v>
      </c>
      <c r="N17" s="48"/>
      <c r="O17" s="49" t="s">
        <v>64</v>
      </c>
      <c r="P17" s="49" t="s">
        <v>65</v>
      </c>
    </row>
    <row r="18" spans="1:16" ht="12.75" customHeight="1" thickBot="1" x14ac:dyDescent="0.25">
      <c r="A18" s="8" t="str">
        <f t="shared" si="0"/>
        <v> PZ 12.66 </v>
      </c>
      <c r="B18" s="3" t="str">
        <f t="shared" si="1"/>
        <v>I</v>
      </c>
      <c r="C18" s="8">
        <f t="shared" si="2"/>
        <v>35076.480000000003</v>
      </c>
      <c r="D18" s="10" t="str">
        <f t="shared" si="3"/>
        <v>vis</v>
      </c>
      <c r="E18" s="46">
        <f>VLOOKUP(C18,Active!C$21:E$973,3,FALSE)</f>
        <v>-124.97187286721888</v>
      </c>
      <c r="F18" s="3" t="s">
        <v>47</v>
      </c>
      <c r="G18" s="10" t="str">
        <f t="shared" si="4"/>
        <v>35076.48</v>
      </c>
      <c r="H18" s="8">
        <f t="shared" si="5"/>
        <v>-125</v>
      </c>
      <c r="I18" s="47" t="s">
        <v>75</v>
      </c>
      <c r="J18" s="48" t="s">
        <v>76</v>
      </c>
      <c r="K18" s="47">
        <v>-125</v>
      </c>
      <c r="L18" s="47" t="s">
        <v>77</v>
      </c>
      <c r="M18" s="48" t="s">
        <v>55</v>
      </c>
      <c r="N18" s="48"/>
      <c r="O18" s="49" t="s">
        <v>64</v>
      </c>
      <c r="P18" s="49" t="s">
        <v>65</v>
      </c>
    </row>
    <row r="19" spans="1:16" ht="12.75" customHeight="1" thickBot="1" x14ac:dyDescent="0.25">
      <c r="A19" s="8" t="str">
        <f t="shared" si="0"/>
        <v> PZ 12.66 </v>
      </c>
      <c r="B19" s="3" t="str">
        <f t="shared" si="1"/>
        <v>I</v>
      </c>
      <c r="C19" s="8">
        <f t="shared" si="2"/>
        <v>35431.5</v>
      </c>
      <c r="D19" s="10" t="str">
        <f t="shared" si="3"/>
        <v>vis</v>
      </c>
      <c r="E19" s="46">
        <f>VLOOKUP(C19,Active!C$21:E$973,3,FALSE)</f>
        <v>-58.950751017690806</v>
      </c>
      <c r="F19" s="3" t="s">
        <v>47</v>
      </c>
      <c r="G19" s="10" t="str">
        <f t="shared" si="4"/>
        <v>35431.50</v>
      </c>
      <c r="H19" s="8">
        <f t="shared" si="5"/>
        <v>-59</v>
      </c>
      <c r="I19" s="47" t="s">
        <v>78</v>
      </c>
      <c r="J19" s="48" t="s">
        <v>79</v>
      </c>
      <c r="K19" s="47">
        <v>-59</v>
      </c>
      <c r="L19" s="47" t="s">
        <v>80</v>
      </c>
      <c r="M19" s="48" t="s">
        <v>55</v>
      </c>
      <c r="N19" s="48"/>
      <c r="O19" s="49" t="s">
        <v>64</v>
      </c>
      <c r="P19" s="49" t="s">
        <v>65</v>
      </c>
    </row>
    <row r="20" spans="1:16" ht="12.75" customHeight="1" thickBot="1" x14ac:dyDescent="0.25">
      <c r="A20" s="8" t="str">
        <f t="shared" si="0"/>
        <v> AC 174.15 </v>
      </c>
      <c r="B20" s="3" t="str">
        <f t="shared" si="1"/>
        <v>I</v>
      </c>
      <c r="C20" s="8">
        <f t="shared" si="2"/>
        <v>35721.5</v>
      </c>
      <c r="D20" s="10" t="str">
        <f t="shared" si="3"/>
        <v>vis</v>
      </c>
      <c r="E20" s="46">
        <f>VLOOKUP(C20,Active!C$21:E$973,3,FALSE)</f>
        <v>-5.0210418847875449</v>
      </c>
      <c r="F20" s="3" t="s">
        <v>47</v>
      </c>
      <c r="G20" s="10" t="str">
        <f t="shared" si="4"/>
        <v>35721.50</v>
      </c>
      <c r="H20" s="8">
        <f t="shared" si="5"/>
        <v>-5</v>
      </c>
      <c r="I20" s="47" t="s">
        <v>81</v>
      </c>
      <c r="J20" s="48" t="s">
        <v>82</v>
      </c>
      <c r="K20" s="47">
        <v>-5</v>
      </c>
      <c r="L20" s="47" t="s">
        <v>83</v>
      </c>
      <c r="M20" s="48" t="s">
        <v>84</v>
      </c>
      <c r="N20" s="48"/>
      <c r="O20" s="49" t="s">
        <v>85</v>
      </c>
      <c r="P20" s="49" t="s">
        <v>86</v>
      </c>
    </row>
    <row r="21" spans="1:16" ht="12.75" customHeight="1" thickBot="1" x14ac:dyDescent="0.25">
      <c r="A21" s="8" t="str">
        <f t="shared" si="0"/>
        <v> AC 174.15 </v>
      </c>
      <c r="B21" s="3" t="str">
        <f t="shared" si="1"/>
        <v>I</v>
      </c>
      <c r="C21" s="8">
        <f t="shared" si="2"/>
        <v>35743.300000000003</v>
      </c>
      <c r="D21" s="10" t="str">
        <f t="shared" si="3"/>
        <v>vis</v>
      </c>
      <c r="E21" s="46">
        <f>VLOOKUP(C21,Active!C$21:E$973,3,FALSE)</f>
        <v>-0.96701547410668964</v>
      </c>
      <c r="F21" s="3" t="s">
        <v>47</v>
      </c>
      <c r="G21" s="10" t="str">
        <f t="shared" si="4"/>
        <v>35743.3</v>
      </c>
      <c r="H21" s="8">
        <f t="shared" si="5"/>
        <v>-1</v>
      </c>
      <c r="I21" s="47" t="s">
        <v>87</v>
      </c>
      <c r="J21" s="48" t="s">
        <v>88</v>
      </c>
      <c r="K21" s="47">
        <v>-1</v>
      </c>
      <c r="L21" s="47" t="s">
        <v>89</v>
      </c>
      <c r="M21" s="48" t="s">
        <v>84</v>
      </c>
      <c r="N21" s="48"/>
      <c r="O21" s="49" t="s">
        <v>85</v>
      </c>
      <c r="P21" s="49" t="s">
        <v>86</v>
      </c>
    </row>
    <row r="22" spans="1:16" ht="12.75" customHeight="1" thickBot="1" x14ac:dyDescent="0.25">
      <c r="A22" s="8" t="str">
        <f t="shared" si="0"/>
        <v>BAVM 225 </v>
      </c>
      <c r="B22" s="3" t="str">
        <f t="shared" si="1"/>
        <v>I</v>
      </c>
      <c r="C22" s="8">
        <f t="shared" si="2"/>
        <v>55807.518600000003</v>
      </c>
      <c r="D22" s="10" t="str">
        <f t="shared" si="3"/>
        <v>vis</v>
      </c>
      <c r="E22" s="46">
        <f>VLOOKUP(C22,Active!C$21:E$973,3,FALSE)</f>
        <v>3730.2656503086087</v>
      </c>
      <c r="F22" s="3" t="s">
        <v>47</v>
      </c>
      <c r="G22" s="10" t="str">
        <f t="shared" si="4"/>
        <v>55807.5186</v>
      </c>
      <c r="H22" s="8">
        <f t="shared" si="5"/>
        <v>3730</v>
      </c>
      <c r="I22" s="47" t="s">
        <v>93</v>
      </c>
      <c r="J22" s="48" t="s">
        <v>94</v>
      </c>
      <c r="K22" s="47">
        <v>3730</v>
      </c>
      <c r="L22" s="47" t="s">
        <v>95</v>
      </c>
      <c r="M22" s="48" t="s">
        <v>96</v>
      </c>
      <c r="N22" s="48" t="s">
        <v>97</v>
      </c>
      <c r="O22" s="49" t="s">
        <v>98</v>
      </c>
      <c r="P22" s="50" t="s">
        <v>99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</sheetData>
  <phoneticPr fontId="7" type="noConversion"/>
  <hyperlinks>
    <hyperlink ref="A3" r:id="rId1"/>
    <hyperlink ref="P22" r:id="rId2" display="http://www.bav-astro.de/sfs/BAVM_link.php?BAVMnr=225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2023-08-17T07:12:40Z</dcterms:modified>
</cp:coreProperties>
</file>