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AB1DCF2-B633-42D2-B2E5-8A5475605857}" xr6:coauthVersionLast="47" xr6:coauthVersionMax="47" xr10:uidLastSave="{00000000-0000-0000-0000-000000000000}"/>
  <bookViews>
    <workbookView xWindow="13695" yWindow="465" windowWidth="12735" windowHeight="1458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E38" i="1"/>
  <c r="F38" i="1"/>
  <c r="G38" i="1" s="1"/>
  <c r="K38" i="1" s="1"/>
  <c r="Q38" i="1"/>
  <c r="C7" i="1"/>
  <c r="C8" i="1"/>
  <c r="E22" i="1"/>
  <c r="F22" i="1"/>
  <c r="G22" i="1"/>
  <c r="K22" i="1"/>
  <c r="C9" i="1"/>
  <c r="D9" i="1"/>
  <c r="F16" i="1"/>
  <c r="F17" i="1" s="1"/>
  <c r="C17" i="1"/>
  <c r="E21" i="1"/>
  <c r="F21" i="1"/>
  <c r="G21" i="1"/>
  <c r="I21" i="1"/>
  <c r="Q21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C12" i="1"/>
  <c r="C11" i="1"/>
  <c r="O38" i="1" l="1"/>
  <c r="O37" i="1"/>
  <c r="O29" i="1"/>
  <c r="O30" i="1"/>
  <c r="O31" i="1"/>
  <c r="O36" i="1"/>
  <c r="O28" i="1"/>
  <c r="O35" i="1"/>
  <c r="O32" i="1"/>
  <c r="O34" i="1"/>
  <c r="O27" i="1"/>
  <c r="O33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<sst xmlns="http://schemas.openxmlformats.org/spreadsheetml/2006/main" count="79" uniqueCount="58">
  <si>
    <t>V0723 Per / GSC 3684-1954</t>
  </si>
  <si>
    <t>System Type:</t>
  </si>
  <si>
    <t>EB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</si>
  <si>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</si>
  <si>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</si>
  <si>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</si>
  <si>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</si>
  <si>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</si>
  <si>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</si>
  <si>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</si>
  <si>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</si>
  <si>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</si>
  <si>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</si>
  <si>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</si>
  <si>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</si>
  <si>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</si>
  <si>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</si>
  <si>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</si>
  <si>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</si>
  <si>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</si>
  <si>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</si>
  <si>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</si>
  <si>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</si>
  <si>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</si>
  <si>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</si>
  <si>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</si>
  <si>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</si>
  <si>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</si>
  <si>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</si>
  <si>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</si>
  <si>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</si>
  <si>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</si>
  <si>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</si>
  <si>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</si>
  <si>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</si>
  <si>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</si>
  <si>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</si>
  <si>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</si>
  <si>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</si>
  <si>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</si>
  <si>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</si>
  <si>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</si>
  <si>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GCVS 4</t>
  </si>
  <si>
    <t>OEJV 0137</t>
  </si>
  <si>
    <t>I</t>
  </si>
  <si>
    <t>OEJV 0160</t>
  </si>
  <si>
    <t>IBVS 6011</t>
  </si>
  <si>
    <t>IBVS 6084</t>
  </si>
  <si>
    <t>IBVS 6042</t>
  </si>
  <si>
    <t>OEJV 0168</t>
  </si>
  <si>
    <t>OEJV 0179</t>
  </si>
  <si>
    <t>II</t>
  </si>
  <si>
    <t>IBVS 6196</t>
  </si>
  <si>
    <t>0.0041</t>
  </si>
  <si>
    <t>JAVSO..44…69</t>
  </si>
  <si>
    <t>OEJV 0211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</si>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</sst>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0.00000"/>
    <numFmt numFmtId="168" formatCode="dd/mm/yyyy"/>
  </numFmts>
  <fonts count="15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" fillId="0" borderId="0"/>
    <xf numFmtId="0" fontId="13" fillId="0" borderId="0"/>
    <xf numFmtId="0" fontId="13" fillId="0" borderId="0"/>
  </cellStyleXfs>
  <cellXfs count="4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2" borderId="0" xfId="0" applyFont="1" applyFill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3" borderId="0" xfId="0" applyFont="1" applyFill="1" applyAlignment="1"/>
    <xf numFmtId="0" fontId="10" fillId="0" borderId="0" xfId="0" applyFont="1" applyAlignment="1">
      <alignment horizontal="left"/>
    </xf>
    <xf numFmtId="0" fontId="8" fillId="0" borderId="0" xfId="6" applyFont="1"/>
    <xf numFmtId="0" fontId="8" fillId="0" borderId="0" xfId="6" applyFont="1" applyAlignment="1">
      <alignment horizontal="center"/>
    </xf>
    <xf numFmtId="0" fontId="8" fillId="0" borderId="0" xfId="6" applyFont="1" applyAlignment="1">
      <alignment horizontal="left"/>
    </xf>
    <xf numFmtId="0" fontId="8" fillId="0" borderId="0" xfId="5" applyFont="1" applyAlignment="1">
      <alignment wrapText="1"/>
    </xf>
    <xf numFmtId="0" fontId="8" fillId="0" borderId="0" xfId="5" applyFont="1" applyAlignment="1">
      <alignment horizontal="center" wrapText="1"/>
    </xf>
    <xf numFmtId="0" fontId="8" fillId="0" borderId="0" xfId="5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7" fontId="14" fillId="0" borderId="0" xfId="0" applyNumberFormat="1" applyFont="1" applyAlignment="1">
      <alignment vertical="center" wrapText="1"/>
    </xf>
    <xf numFmtId="168" fontId="0" fillId="0" borderId="0" xfId="0" applyNumberFormat="1" applyAlignment="1"/>
  </cellXfs>
  <cellStyles count="8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  <cellStyle name="Normal_A_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22822889753688513"/>
          <c:w val="0.82857142857142863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</c:numCache>
            </c:numRef>
          </c:xVal>
          <c:yVal>
            <c:numRef>
              <c:f>Active!$H$21:$H$36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1-4FEF-B396-59B330E124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</c:numCache>
            </c:numRef>
          </c:xVal>
          <c:yVal>
            <c:numRef>
              <c:f>Active!$I$21:$I$36</c:f>
              <c:numCache>
                <c:formatCode>General</c:formatCode>
                <c:ptCount val="1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31-4FEF-B396-59B330E1244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</c:numCache>
            </c:numRef>
          </c:xVal>
          <c:yVal>
            <c:numRef>
              <c:f>Active!$J$21:$J$36</c:f>
              <c:numCache>
                <c:formatCode>General</c:formatCode>
                <c:ptCount val="16"/>
                <c:pt idx="4">
                  <c:v>-2.5476500000004307</c:v>
                </c:pt>
                <c:pt idx="5">
                  <c:v>-2.4419999999954598</c:v>
                </c:pt>
                <c:pt idx="6">
                  <c:v>-2.3205500000040047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31-4FEF-B396-59B330E1244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</c:numCache>
            </c:numRef>
          </c:xVal>
          <c:yVal>
            <c:numRef>
              <c:f>Active!$K$21:$K$36</c:f>
              <c:numCache>
                <c:formatCode>General</c:formatCode>
                <c:ptCount val="16"/>
                <c:pt idx="1">
                  <c:v>-2.3535499999925378</c:v>
                </c:pt>
                <c:pt idx="2">
                  <c:v>-2.2105799999990268</c:v>
                </c:pt>
                <c:pt idx="3">
                  <c:v>-2.5771000000022468</c:v>
                </c:pt>
                <c:pt idx="7">
                  <c:v>-2.8476499999960652</c:v>
                </c:pt>
                <c:pt idx="8">
                  <c:v>-2.7075499999991735</c:v>
                </c:pt>
                <c:pt idx="9">
                  <c:v>-2.9686399999991409</c:v>
                </c:pt>
                <c:pt idx="10">
                  <c:v>-2.827579999997397</c:v>
                </c:pt>
                <c:pt idx="11">
                  <c:v>-2.8249999999970896</c:v>
                </c:pt>
                <c:pt idx="12">
                  <c:v>-2.8015700000032666</c:v>
                </c:pt>
                <c:pt idx="13">
                  <c:v>-2.7673500000018976</c:v>
                </c:pt>
                <c:pt idx="14">
                  <c:v>-2.669210000000021</c:v>
                </c:pt>
                <c:pt idx="15">
                  <c:v>-2.6043100001552375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31-4FEF-B396-59B330E1244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</c:numCache>
            </c:numRef>
          </c:xVal>
          <c:yVal>
            <c:numRef>
              <c:f>Active!$L$21:$L$36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31-4FEF-B396-59B330E124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</c:numCache>
            </c:numRef>
          </c:xVal>
          <c:yVal>
            <c:numRef>
              <c:f>Active!$M$21:$M$36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31-4FEF-B396-59B330E124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</c:numCache>
            </c:numRef>
          </c:xVal>
          <c:yVal>
            <c:numRef>
              <c:f>Active!$N$21:$N$36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31-4FEF-B396-59B330E124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Active!$F$21:$F$36</c:f>
              <c:numCache>
                <c:formatCode>General</c:formatCode>
                <c:ptCount val="16"/>
                <c:pt idx="0">
                  <c:v>0</c:v>
                </c:pt>
                <c:pt idx="1">
                  <c:v>4889</c:v>
                </c:pt>
                <c:pt idx="2">
                  <c:v>5335</c:v>
                </c:pt>
                <c:pt idx="3">
                  <c:v>5431</c:v>
                </c:pt>
                <c:pt idx="4">
                  <c:v>5733.5</c:v>
                </c:pt>
                <c:pt idx="5">
                  <c:v>5766</c:v>
                </c:pt>
                <c:pt idx="6">
                  <c:v>5778.5</c:v>
                </c:pt>
                <c:pt idx="7">
                  <c:v>5798.5</c:v>
                </c:pt>
                <c:pt idx="8">
                  <c:v>6255</c:v>
                </c:pt>
                <c:pt idx="9">
                  <c:v>6685</c:v>
                </c:pt>
                <c:pt idx="10">
                  <c:v>7120.5</c:v>
                </c:pt>
                <c:pt idx="11">
                  <c:v>7127</c:v>
                </c:pt>
                <c:pt idx="12">
                  <c:v>7213.5</c:v>
                </c:pt>
                <c:pt idx="13">
                  <c:v>7301.5</c:v>
                </c:pt>
                <c:pt idx="14">
                  <c:v>7584</c:v>
                </c:pt>
                <c:pt idx="15">
                  <c:v>7803.5</c:v>
                </c:pt>
              </c:numCache>
            </c:numRef>
          </c:xVal>
          <c:yVal>
            <c:numRef>
              <c:f>Active!$O$21:$O$36</c:f>
              <c:numCache>
                <c:formatCode>General</c:formatCode>
                <c:ptCount val="16"/>
                <c:pt idx="6">
                  <c:v>-2.8686901334912593</c:v>
                </c:pt>
                <c:pt idx="7">
                  <c:v>-2.8676532071015668</c:v>
                </c:pt>
                <c:pt idx="8">
                  <c:v>-2.8439853622568387</c:v>
                </c:pt>
                <c:pt idx="9">
                  <c:v>-2.8216914448784531</c:v>
                </c:pt>
                <c:pt idx="10">
                  <c:v>-2.7991123727429024</c:v>
                </c:pt>
                <c:pt idx="11">
                  <c:v>-2.7987753716662525</c:v>
                </c:pt>
                <c:pt idx="12">
                  <c:v>-2.7942906650308328</c:v>
                </c:pt>
                <c:pt idx="13">
                  <c:v>-2.7897281889161865</c:v>
                </c:pt>
                <c:pt idx="14">
                  <c:v>-2.775081603661782</c:v>
                </c:pt>
                <c:pt idx="15">
                  <c:v>-2.7637013365349086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31-4FEF-B396-59B330E12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50192"/>
        <c:axId val="1"/>
      </c:scatterChart>
      <c:valAx>
        <c:axId val="47175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57142857142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501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58646616541354"/>
          <c:y val="0.91291543512015949"/>
          <c:w val="0.6300751879699247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161182-344C-1DD0-443F-BF14D7F4B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F10" sqref="F10"/>
    </sheetView>
  </sheetViews>
  <sheetFormatPr defaultColWidth="10.28515625" defaultRowHeight="12.75"/>
  <cols>
    <col min="1" max="1" width="17.285156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47" customWidth="1"/>
    <col min="18" max="16384" width="10.28515625" style="1"/>
  </cols>
  <sheetData>
    <row r="1" spans="1:6" s="1" customFormat="1" ht="20.25">
      <c r="A1" s="2" t="s">
        <v>0</v>
      </c>
    </row>
    <row r="2" spans="1:6" s="1" customFormat="1">
      <c r="A2" s="1" t="s">
        <v>1</v>
      </c>
      <c r="B2" s="3" t="s">
        <v>2</v>
      </c>
      <c r="D2" s="4"/>
    </row>
    <row r="3" spans="1:6" s="1" customFormat="1"/>
    <row r="4" spans="1:6" s="1" customFormat="1">
      <c r="A4" s="5" t="s">
        <v>3</v>
      </c>
      <c r="C4" s="6">
        <v>51589.595999999998</v>
      </c>
      <c r="D4" s="7">
        <v>0.79610000000000003</v>
      </c>
    </row>
    <row r="5" spans="1:6" s="1" customFormat="1">
      <c r="A5" s="8" t="s">
        <v>4</v>
      </c>
      <c r="B5"/>
      <c r="C5" s="9">
        <v>-9.5</v>
      </c>
      <c r="D5" t="s">
        <v>5</v>
      </c>
    </row>
    <row r="6" spans="1:6" s="1" customFormat="1">
      <c r="A6" s="5" t="s">
        <v>6</v>
      </c>
    </row>
    <row r="7" spans="1:6" s="1" customFormat="1">
      <c r="A7" s="1" t="s">
        <v>7</v>
      </c>
      <c r="C7" s="1">
        <f>+C4</f>
        <v>51589.595999999998</v>
      </c>
    </row>
    <row r="8" spans="1:6" s="1" customFormat="1">
      <c r="A8" s="1" t="s">
        <v>8</v>
      </c>
      <c r="C8" s="1">
        <f>+D4</f>
        <v>0.79610000000000003</v>
      </c>
    </row>
    <row r="9" spans="1:6" s="1" customFormat="1">
      <c r="A9" s="10" t="s">
        <v>9</v>
      </c>
      <c r="B9" s="11">
        <v>30</v>
      </c>
      <c r="C9" s="12" t="str">
        <f>"F"&amp;B9</f>
        <v>F30</v>
      </c>
      <c r="D9" s="13" t="str">
        <f>"G"&amp;B9</f>
        <v>G30</v>
      </c>
    </row>
    <row r="10" spans="1:6" s="1" customFormat="1">
      <c r="A10"/>
      <c r="B10"/>
      <c r="C10" s="14" t="s">
        <v>10</v>
      </c>
      <c r="D10" s="14" t="s">
        <v>11</v>
      </c>
      <c r="E10"/>
    </row>
    <row r="11" spans="1:6" s="1" customFormat="1">
      <c r="A11" t="s">
        <v>12</v>
      </c>
      <c r="B11"/>
      <c r="C11" s="15">
        <f ca="1">INTERCEPT(INDIRECT($D$9):G992,INDIRECT($C$9):F992)</f>
        <v>-3.1682840906331222</v>
      </c>
      <c r="D11" s="4"/>
      <c r="E11"/>
    </row>
    <row r="12" spans="1:6" s="1" customFormat="1">
      <c r="A12" t="s">
        <v>13</v>
      </c>
      <c r="B12"/>
      <c r="C12" s="15">
        <f ca="1">SLOPE(INDIRECT($D$9):G992,INDIRECT($C$9):F992)</f>
        <v>5.184631948461764E-5</v>
      </c>
      <c r="D12" s="4"/>
      <c r="E12"/>
    </row>
    <row r="13" spans="1:6" s="1" customFormat="1">
      <c r="A13" t="s">
        <v>14</v>
      </c>
      <c r="B13"/>
      <c r="C13" s="4" t="s">
        <v>15</v>
      </c>
    </row>
    <row r="14" spans="1:6" s="1" customFormat="1">
      <c r="A14"/>
      <c r="B14"/>
      <c r="C14"/>
    </row>
    <row r="15" spans="1:6" s="1" customFormat="1">
      <c r="A15" s="16" t="s">
        <v>16</v>
      </c>
      <c r="B15"/>
      <c r="C15" s="17">
        <f ca="1">(C7+C11)+(C8+C12)*INT(MAX(F21:F3533))</f>
        <v>59618.007541580322</v>
      </c>
      <c r="E15" s="18" t="s">
        <v>17</v>
      </c>
      <c r="F15" s="9">
        <v>1</v>
      </c>
    </row>
    <row r="16" spans="1:6" s="1" customFormat="1">
      <c r="A16" s="16" t="s">
        <v>18</v>
      </c>
      <c r="B16"/>
      <c r="C16" s="17">
        <f ca="1">+C8+C12</f>
        <v>0.79615184631948466</v>
      </c>
      <c r="E16" s="18" t="s">
        <v>19</v>
      </c>
      <c r="F16" s="15">
        <f ca="1">NOW()+15018.5+$C$5/24</f>
        <v>59965.834660300927</v>
      </c>
    </row>
    <row r="17" spans="1:17">
      <c r="A17" s="18" t="s">
        <v>20</v>
      </c>
      <c r="B17"/>
      <c r="C17">
        <f>COUNT(C21:C2191)</f>
        <v>18</v>
      </c>
      <c r="E17" s="18" t="s">
        <v>21</v>
      </c>
      <c r="F17" s="15">
        <f ca="1">ROUND(2*(F16-$C$7)/$C$8,0)/2+F15</f>
        <v>10522.5</v>
      </c>
      <c r="Q17" s="1"/>
    </row>
    <row r="18" spans="1:17">
      <c r="A18" s="16" t="s">
        <v>22</v>
      </c>
      <c r="B18"/>
      <c r="C18" s="19">
        <f ca="1">+C15</f>
        <v>59618.007541580322</v>
      </c>
      <c r="D18" s="20">
        <f ca="1">+C16</f>
        <v>0.79615184631948466</v>
      </c>
      <c r="E18" s="18" t="s">
        <v>23</v>
      </c>
      <c r="F18" s="13">
        <f ca="1">ROUND(2*(F16-$C$15)/$C$16,0)/2+F15</f>
        <v>438</v>
      </c>
      <c r="Q18" s="1"/>
    </row>
    <row r="19" spans="1:17">
      <c r="E19" s="18" t="s">
        <v>24</v>
      </c>
      <c r="F19" s="21">
        <f ca="1">+$C$15+$C$16*F18-15018.5-$C$5/24</f>
        <v>44948.61788360159</v>
      </c>
      <c r="Q19" s="1"/>
    </row>
    <row r="20" spans="1:17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4" t="s">
        <v>41</v>
      </c>
    </row>
    <row r="21" spans="1:17">
      <c r="A21" s="1" t="s">
        <v>42</v>
      </c>
      <c r="C21" s="23">
        <v>51589.595999999998</v>
      </c>
      <c r="D21" s="23" t="s">
        <v>15</v>
      </c>
      <c r="E21" s="1">
        <f t="shared" ref="E21:E27" si="0">+(C21-C$7)/C$8</f>
        <v>0</v>
      </c>
      <c r="F21" s="1">
        <f>ROUND(2*E21,0)/2</f>
        <v>0</v>
      </c>
      <c r="G21" s="1">
        <f t="shared" ref="G21:G27" si="1">+C21-(C$7+F21*C$8)</f>
        <v>0</v>
      </c>
      <c r="I21" s="1">
        <f>+G21</f>
        <v>0</v>
      </c>
      <c r="Q21" s="47">
        <f t="shared" ref="Q21:Q27" si="2">+C21-15018.5</f>
        <v>36571.095999999998</v>
      </c>
    </row>
    <row r="22" spans="1:17">
      <c r="A22" s="24" t="s">
        <v>43</v>
      </c>
      <c r="B22" s="25" t="s">
        <v>44</v>
      </c>
      <c r="C22" s="26">
        <v>55479.375350000002</v>
      </c>
      <c r="D22" s="26">
        <v>2.9999999999999997E-4</v>
      </c>
      <c r="E22" s="1">
        <f t="shared" si="0"/>
        <v>4886.0436502951943</v>
      </c>
      <c r="F22" s="27">
        <f t="shared" ref="F22:F27" si="3">ROUND(2*E22,0)/2+3</f>
        <v>4889</v>
      </c>
      <c r="G22" s="1">
        <f t="shared" si="1"/>
        <v>-2.3535499999925378</v>
      </c>
      <c r="K22" s="1">
        <f>+G22</f>
        <v>-2.3535499999925378</v>
      </c>
      <c r="Q22" s="47">
        <f t="shared" si="2"/>
        <v>40460.875350000002</v>
      </c>
    </row>
    <row r="23" spans="1:17">
      <c r="A23" s="24" t="s">
        <v>45</v>
      </c>
      <c r="B23" s="25" t="s">
        <v>44</v>
      </c>
      <c r="C23" s="26">
        <v>55834.57892</v>
      </c>
      <c r="D23" s="26">
        <v>2.9999999999999997E-4</v>
      </c>
      <c r="E23" s="1">
        <f t="shared" si="0"/>
        <v>5332.2232382866496</v>
      </c>
      <c r="F23" s="27">
        <f t="shared" si="3"/>
        <v>5335</v>
      </c>
      <c r="G23" s="1">
        <f t="shared" si="1"/>
        <v>-2.2105799999990268</v>
      </c>
      <c r="K23" s="1">
        <f>+G23</f>
        <v>-2.2105799999990268</v>
      </c>
      <c r="Q23" s="47">
        <f t="shared" si="2"/>
        <v>40816.07892</v>
      </c>
    </row>
    <row r="24" spans="1:17">
      <c r="A24" s="28" t="s">
        <v>46</v>
      </c>
      <c r="B24" s="29" t="s">
        <v>44</v>
      </c>
      <c r="C24" s="28">
        <v>55910.637999999999</v>
      </c>
      <c r="D24" s="28">
        <v>8.9999999999999998E-4</v>
      </c>
      <c r="E24" s="1">
        <f t="shared" si="0"/>
        <v>5427.7628438638376</v>
      </c>
      <c r="F24" s="27">
        <f t="shared" si="3"/>
        <v>5431</v>
      </c>
      <c r="G24" s="1">
        <f t="shared" si="1"/>
        <v>-2.5771000000022468</v>
      </c>
      <c r="K24" s="1">
        <f>+G24</f>
        <v>-2.5771000000022468</v>
      </c>
      <c r="Q24" s="47">
        <f t="shared" si="2"/>
        <v>40892.137999999999</v>
      </c>
    </row>
    <row r="25" spans="1:17">
      <c r="A25" s="26" t="s">
        <v>47</v>
      </c>
      <c r="B25" s="25" t="s">
        <v>44</v>
      </c>
      <c r="C25" s="26">
        <v>56151.487699999998</v>
      </c>
      <c r="D25" s="26">
        <v>1.8E-3</v>
      </c>
      <c r="E25" s="1">
        <f t="shared" si="0"/>
        <v>5730.2998367039318</v>
      </c>
      <c r="F25" s="27">
        <f t="shared" si="3"/>
        <v>5733.5</v>
      </c>
      <c r="G25" s="1">
        <f t="shared" si="1"/>
        <v>-2.5476500000004307</v>
      </c>
      <c r="J25" s="1">
        <f>+G25</f>
        <v>-2.5476500000004307</v>
      </c>
      <c r="Q25" s="47">
        <f t="shared" si="2"/>
        <v>41132.987699999998</v>
      </c>
    </row>
    <row r="26" spans="1:17">
      <c r="A26" s="26" t="s">
        <v>47</v>
      </c>
      <c r="B26" s="25" t="s">
        <v>44</v>
      </c>
      <c r="C26" s="26">
        <v>56177.4666</v>
      </c>
      <c r="D26" s="26">
        <v>5.0000000000000001E-3</v>
      </c>
      <c r="E26" s="1">
        <f t="shared" si="0"/>
        <v>5762.9325461625449</v>
      </c>
      <c r="F26" s="27">
        <f t="shared" si="3"/>
        <v>5766</v>
      </c>
      <c r="G26" s="1">
        <f t="shared" si="1"/>
        <v>-2.4419999999954598</v>
      </c>
      <c r="J26" s="1">
        <f>+G26</f>
        <v>-2.4419999999954598</v>
      </c>
      <c r="Q26" s="47">
        <f t="shared" si="2"/>
        <v>41158.9666</v>
      </c>
    </row>
    <row r="27" spans="1:17">
      <c r="A27" s="26" t="s">
        <v>47</v>
      </c>
      <c r="B27" s="25" t="s">
        <v>44</v>
      </c>
      <c r="C27" s="26">
        <v>56187.539299999997</v>
      </c>
      <c r="D27" s="26">
        <v>1.2999999999999999E-3</v>
      </c>
      <c r="E27" s="1">
        <f t="shared" si="0"/>
        <v>5775.5851023740724</v>
      </c>
      <c r="F27" s="27">
        <f t="shared" si="3"/>
        <v>5778.5</v>
      </c>
      <c r="G27" s="1">
        <f t="shared" si="1"/>
        <v>-2.3205500000040047</v>
      </c>
      <c r="J27" s="1">
        <f>+G27</f>
        <v>-2.3205500000040047</v>
      </c>
      <c r="O27" s="1">
        <f t="shared" ref="O27:O35" ca="1" si="4">+C$11+C$12*$F27</f>
        <v>-2.8686901334912593</v>
      </c>
      <c r="Q27" s="47">
        <f t="shared" si="2"/>
        <v>41169.039299999997</v>
      </c>
    </row>
    <row r="28" spans="1:17">
      <c r="A28" s="24" t="s">
        <v>48</v>
      </c>
      <c r="B28" s="25" t="s">
        <v>44</v>
      </c>
      <c r="C28" s="26">
        <v>56202.934200000003</v>
      </c>
      <c r="D28" s="26">
        <v>1.4000000000000001E-4</v>
      </c>
      <c r="E28" s="1">
        <f t="shared" ref="E28:E35" si="5">+(C28-C$7)/C$8</f>
        <v>5794.9229996231697</v>
      </c>
      <c r="F28" s="30">
        <f t="shared" ref="F28:F36" si="6">ROUND(2*E28,0)/2+3.5</f>
        <v>5798.5</v>
      </c>
      <c r="G28" s="1">
        <f t="shared" ref="G28:G35" si="7">+C28-(C$7+F28*C$8)</f>
        <v>-2.8476499999960652</v>
      </c>
      <c r="K28" s="1">
        <f t="shared" ref="K28:K35" si="8">+G28</f>
        <v>-2.8476499999960652</v>
      </c>
      <c r="O28" s="1">
        <f t="shared" ca="1" si="4"/>
        <v>-2.8676532071015668</v>
      </c>
      <c r="Q28" s="47">
        <f t="shared" ref="Q28:Q35" si="9">+C28-15018.5</f>
        <v>41184.434200000003</v>
      </c>
    </row>
    <row r="29" spans="1:17">
      <c r="A29" s="26" t="s">
        <v>49</v>
      </c>
      <c r="B29" s="25" t="s">
        <v>44</v>
      </c>
      <c r="C29" s="31">
        <v>56566.493949999996</v>
      </c>
      <c r="D29" s="26">
        <v>2.0000000000000001E-4</v>
      </c>
      <c r="E29" s="1">
        <f t="shared" si="5"/>
        <v>6251.5989825398801</v>
      </c>
      <c r="F29" s="30">
        <f t="shared" si="6"/>
        <v>6255</v>
      </c>
      <c r="G29" s="1">
        <f t="shared" si="7"/>
        <v>-2.7075499999991735</v>
      </c>
      <c r="K29" s="1">
        <f t="shared" si="8"/>
        <v>-2.7075499999991735</v>
      </c>
      <c r="O29" s="1">
        <f t="shared" ca="1" si="4"/>
        <v>-2.8439853622568387</v>
      </c>
      <c r="Q29" s="47">
        <f t="shared" si="9"/>
        <v>41547.993949999996</v>
      </c>
    </row>
    <row r="30" spans="1:17">
      <c r="A30" s="32" t="s">
        <v>50</v>
      </c>
      <c r="B30" s="33" t="s">
        <v>44</v>
      </c>
      <c r="C30" s="34">
        <v>56908.55586</v>
      </c>
      <c r="D30" s="34">
        <v>5.0000000000000001E-4</v>
      </c>
      <c r="E30" s="1">
        <f t="shared" si="5"/>
        <v>6681.2710212284919</v>
      </c>
      <c r="F30" s="30">
        <f t="shared" si="6"/>
        <v>6685</v>
      </c>
      <c r="G30" s="1">
        <f t="shared" si="7"/>
        <v>-2.9686399999991409</v>
      </c>
      <c r="K30" s="1">
        <f t="shared" si="8"/>
        <v>-2.9686399999991409</v>
      </c>
      <c r="O30" s="1">
        <f t="shared" ca="1" si="4"/>
        <v>-2.8216914448784531</v>
      </c>
      <c r="Q30" s="47">
        <f t="shared" si="9"/>
        <v>41890.05586</v>
      </c>
    </row>
    <row r="31" spans="1:17">
      <c r="A31" s="32" t="s">
        <v>50</v>
      </c>
      <c r="B31" s="33" t="s">
        <v>51</v>
      </c>
      <c r="C31" s="34">
        <v>57255.39847</v>
      </c>
      <c r="D31" s="34">
        <v>2.0000000000000001E-4</v>
      </c>
      <c r="E31" s="1">
        <f t="shared" si="5"/>
        <v>7116.9482100238693</v>
      </c>
      <c r="F31" s="30">
        <f t="shared" si="6"/>
        <v>7120.5</v>
      </c>
      <c r="G31" s="1">
        <f t="shared" si="7"/>
        <v>-2.827579999997397</v>
      </c>
      <c r="K31" s="1">
        <f t="shared" si="8"/>
        <v>-2.827579999997397</v>
      </c>
      <c r="O31" s="1">
        <f t="shared" ca="1" si="4"/>
        <v>-2.7991123727429024</v>
      </c>
      <c r="Q31" s="47">
        <f t="shared" si="9"/>
        <v>42236.89847</v>
      </c>
    </row>
    <row r="32" spans="1:17">
      <c r="A32" s="35" t="s">
        <v>52</v>
      </c>
      <c r="B32" s="36" t="s">
        <v>44</v>
      </c>
      <c r="C32" s="37">
        <v>57260.575700000001</v>
      </c>
      <c r="D32" s="37" t="s">
        <v>53</v>
      </c>
      <c r="E32" s="1">
        <f t="shared" si="5"/>
        <v>7123.4514508227649</v>
      </c>
      <c r="F32" s="30">
        <f t="shared" si="6"/>
        <v>7127</v>
      </c>
      <c r="G32" s="1">
        <f t="shared" si="7"/>
        <v>-2.8249999999970896</v>
      </c>
      <c r="K32" s="1">
        <f t="shared" si="8"/>
        <v>-2.8249999999970896</v>
      </c>
      <c r="O32" s="1">
        <f t="shared" ca="1" si="4"/>
        <v>-2.7987753716662525</v>
      </c>
      <c r="Q32" s="47">
        <f t="shared" si="9"/>
        <v>42242.075700000001</v>
      </c>
    </row>
    <row r="33" spans="1:17">
      <c r="A33" s="32" t="s">
        <v>50</v>
      </c>
      <c r="B33" s="33" t="s">
        <v>51</v>
      </c>
      <c r="C33" s="34">
        <v>57329.461779999998</v>
      </c>
      <c r="D33" s="34">
        <v>5.9999999999999995E-4</v>
      </c>
      <c r="E33" s="1">
        <f t="shared" si="5"/>
        <v>7209.9808817987687</v>
      </c>
      <c r="F33" s="30">
        <f t="shared" si="6"/>
        <v>7213.5</v>
      </c>
      <c r="G33" s="1">
        <f t="shared" si="7"/>
        <v>-2.8015700000032666</v>
      </c>
      <c r="K33" s="1">
        <f t="shared" si="8"/>
        <v>-2.8015700000032666</v>
      </c>
      <c r="O33" s="1">
        <f t="shared" ca="1" si="4"/>
        <v>-2.7942906650308328</v>
      </c>
      <c r="Q33" s="47">
        <f t="shared" si="9"/>
        <v>42310.961779999998</v>
      </c>
    </row>
    <row r="34" spans="1:17">
      <c r="A34" s="38" t="s">
        <v>54</v>
      </c>
      <c r="B34" s="39" t="s">
        <v>51</v>
      </c>
      <c r="C34" s="40">
        <v>57399.552799999998</v>
      </c>
      <c r="D34" s="40">
        <v>2.0000000000000001E-4</v>
      </c>
      <c r="E34" s="1">
        <f t="shared" si="5"/>
        <v>7298.0238663484479</v>
      </c>
      <c r="F34" s="30">
        <f t="shared" si="6"/>
        <v>7301.5</v>
      </c>
      <c r="G34" s="1">
        <f t="shared" si="7"/>
        <v>-2.7673500000018976</v>
      </c>
      <c r="K34" s="1">
        <f t="shared" si="8"/>
        <v>-2.7673500000018976</v>
      </c>
      <c r="O34" s="1">
        <f t="shared" ca="1" si="4"/>
        <v>-2.7897281889161865</v>
      </c>
      <c r="Q34" s="47">
        <f t="shared" si="9"/>
        <v>42381.052799999998</v>
      </c>
    </row>
    <row r="35" spans="1:17" ht="12" customHeight="1">
      <c r="A35" s="32" t="s">
        <v>50</v>
      </c>
      <c r="B35" s="33" t="s">
        <v>44</v>
      </c>
      <c r="C35" s="34">
        <v>57624.549189999998</v>
      </c>
      <c r="D35" s="34">
        <v>1.1000000000000001E-3</v>
      </c>
      <c r="E35" s="1">
        <f t="shared" si="5"/>
        <v>7580.6471423188041</v>
      </c>
      <c r="F35" s="30">
        <f t="shared" si="6"/>
        <v>7584</v>
      </c>
      <c r="G35" s="1">
        <f t="shared" si="7"/>
        <v>-2.669210000000021</v>
      </c>
      <c r="K35" s="1">
        <f t="shared" si="8"/>
        <v>-2.669210000000021</v>
      </c>
      <c r="O35" s="1">
        <f t="shared" ca="1" si="4"/>
        <v>-2.775081603661782</v>
      </c>
      <c r="Q35" s="47">
        <f t="shared" si="9"/>
        <v>42606.049189999998</v>
      </c>
    </row>
    <row r="36" spans="1:17" ht="12" customHeight="1">
      <c r="A36" s="41" t="s">
        <v>55</v>
      </c>
      <c r="B36" s="42" t="s">
        <v>44</v>
      </c>
      <c r="C36" s="43">
        <v>57799.358039999846</v>
      </c>
      <c r="D36" s="43">
        <v>2.9999999999999997E-4</v>
      </c>
      <c r="E36" s="1">
        <f>+(C36-C$7)/C$8</f>
        <v>7800.2286647404198</v>
      </c>
      <c r="F36" s="30">
        <f t="shared" si="6"/>
        <v>7803.5</v>
      </c>
      <c r="G36" s="1">
        <f>+C36-(C$7+F36*C$8)</f>
        <v>-2.6043100001552375</v>
      </c>
      <c r="K36" s="1">
        <f>+G36</f>
        <v>-2.6043100001552375</v>
      </c>
      <c r="O36" s="1">
        <f ca="1">+C$11+C$12*$F36</f>
        <v>-2.7637013365349086</v>
      </c>
      <c r="Q36" s="47">
        <f>+C36-15018.5</f>
        <v>42780.858039999846</v>
      </c>
    </row>
    <row r="37" spans="1:17" ht="12" customHeight="1">
      <c r="A37" s="44" t="s">
        <v>56</v>
      </c>
      <c r="B37" s="45" t="s">
        <v>44</v>
      </c>
      <c r="C37" s="46">
        <v>59504.496400000004</v>
      </c>
      <c r="D37" s="44">
        <v>1.4E-3</v>
      </c>
      <c r="E37" s="1">
        <f t="shared" ref="E37:E38" si="10">+(C37-C$7)/C$8</f>
        <v>9942.0932043713165</v>
      </c>
      <c r="F37" s="30">
        <f t="shared" ref="F37:F38" si="11">ROUND(2*E37,0)/2+3.5</f>
        <v>9945.5</v>
      </c>
      <c r="G37" s="1">
        <f t="shared" ref="G37:G38" si="12">+C37-(C$7+F37*C$8)</f>
        <v>-2.712149999992107</v>
      </c>
      <c r="K37" s="1">
        <f t="shared" ref="K37:K38" si="13">+G37</f>
        <v>-2.712149999992107</v>
      </c>
      <c r="O37" s="1">
        <f t="shared" ref="O37:O38" ca="1" si="14">+C$11+C$12*$F37</f>
        <v>-2.6526465201988576</v>
      </c>
      <c r="Q37" s="47">
        <f t="shared" ref="Q37:Q38" si="15">+C37-15018.5</f>
        <v>44485.996400000004</v>
      </c>
    </row>
    <row r="38" spans="1:17" ht="12" customHeight="1">
      <c r="A38" s="44" t="s">
        <v>57</v>
      </c>
      <c r="B38" s="45" t="s">
        <v>44</v>
      </c>
      <c r="C38" s="46">
        <v>59618.386400000003</v>
      </c>
      <c r="D38" s="44">
        <v>1E-4</v>
      </c>
      <c r="E38" s="1">
        <f t="shared" si="10"/>
        <v>10085.15312146716</v>
      </c>
      <c r="F38" s="30">
        <f t="shared" si="11"/>
        <v>10088.5</v>
      </c>
      <c r="G38" s="1">
        <f t="shared" si="12"/>
        <v>-2.6644499999965774</v>
      </c>
      <c r="K38" s="1">
        <f t="shared" si="13"/>
        <v>-2.6644499999965774</v>
      </c>
      <c r="O38" s="1">
        <f t="shared" ca="1" si="14"/>
        <v>-2.6452324965125573</v>
      </c>
      <c r="Q38" s="47">
        <f t="shared" si="15"/>
        <v>44599.886400000003</v>
      </c>
    </row>
    <row r="39" spans="1:17" ht="12" customHeight="1"/>
    <row r="40" spans="1:17" ht="12" customHeight="1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2023-01-21T07:01:32Z</dcterms:created>
  <dcterms:modified xsi:type="dcterms:W3CDTF">2023-01-21T07:01:54Z</dcterms:modified>
</cp:coreProperties>
</file>