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2399E9B-0746-4F60-AD6A-EA4845F155C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36" i="1" l="1"/>
  <c r="Q37" i="1"/>
  <c r="E36" i="1"/>
  <c r="F36" i="1" s="1"/>
  <c r="G36" i="1" s="1"/>
  <c r="K36" i="1" s="1"/>
  <c r="E37" i="1"/>
  <c r="F37" i="1" s="1"/>
  <c r="G37" i="1" s="1"/>
  <c r="K37" i="1" s="1"/>
  <c r="C9" i="1"/>
  <c r="D9" i="1"/>
  <c r="F16" i="1"/>
  <c r="F17" i="1" s="1"/>
  <c r="C17" i="1"/>
  <c r="E21" i="1"/>
  <c r="F21" i="1" s="1"/>
  <c r="G21" i="1" s="1"/>
  <c r="H21" i="1" s="1"/>
  <c r="Q21" i="1"/>
  <c r="E22" i="1"/>
  <c r="F22" i="1"/>
  <c r="G22" i="1"/>
  <c r="K22" i="1" s="1"/>
  <c r="Q22" i="1"/>
  <c r="E23" i="1"/>
  <c r="F23" i="1" s="1"/>
  <c r="G23" i="1" s="1"/>
  <c r="J23" i="1" s="1"/>
  <c r="Q23" i="1"/>
  <c r="E24" i="1"/>
  <c r="F24" i="1" s="1"/>
  <c r="G24" i="1" s="1"/>
  <c r="K24" i="1" s="1"/>
  <c r="Q24" i="1"/>
  <c r="E25" i="1"/>
  <c r="F25" i="1"/>
  <c r="G25" i="1"/>
  <c r="J25" i="1"/>
  <c r="Q25" i="1"/>
  <c r="E26" i="1"/>
  <c r="F26" i="1"/>
  <c r="G26" i="1" s="1"/>
  <c r="J26" i="1" s="1"/>
  <c r="Q26" i="1"/>
  <c r="E28" i="1"/>
  <c r="F28" i="1"/>
  <c r="G28" i="1" s="1"/>
  <c r="J28" i="1" s="1"/>
  <c r="Q28" i="1"/>
  <c r="E27" i="1"/>
  <c r="F27" i="1" s="1"/>
  <c r="Q27" i="1"/>
  <c r="E31" i="1"/>
  <c r="F31" i="1" s="1"/>
  <c r="G31" i="1" s="1"/>
  <c r="K31" i="1" s="1"/>
  <c r="Q31" i="1"/>
  <c r="E29" i="1"/>
  <c r="F29" i="1"/>
  <c r="G29" i="1"/>
  <c r="K29" i="1"/>
  <c r="Q29" i="1"/>
  <c r="E30" i="1"/>
  <c r="F30" i="1"/>
  <c r="G30" i="1" s="1"/>
  <c r="K30" i="1" s="1"/>
  <c r="Q30" i="1"/>
  <c r="E34" i="1"/>
  <c r="F34" i="1"/>
  <c r="G34" i="1" s="1"/>
  <c r="K34" i="1" s="1"/>
  <c r="Q34" i="1"/>
  <c r="E35" i="1"/>
  <c r="F35" i="1" s="1"/>
  <c r="G35" i="1" s="1"/>
  <c r="K35" i="1" s="1"/>
  <c r="Q35" i="1"/>
  <c r="E32" i="1"/>
  <c r="F32" i="1"/>
  <c r="G32" i="1"/>
  <c r="K32" i="1" s="1"/>
  <c r="Q32" i="1"/>
  <c r="E33" i="1"/>
  <c r="F33" i="1"/>
  <c r="G33" i="1"/>
  <c r="K33" i="1" s="1"/>
  <c r="Q33" i="1"/>
  <c r="C12" i="1"/>
  <c r="C11" i="1"/>
  <c r="U28" i="1" l="1"/>
  <c r="O37" i="1"/>
  <c r="O36" i="1"/>
  <c r="O22" i="1"/>
  <c r="O34" i="1"/>
  <c r="O31" i="1"/>
  <c r="C15" i="1"/>
  <c r="O23" i="1"/>
  <c r="O35" i="1"/>
  <c r="O25" i="1"/>
  <c r="O24" i="1"/>
  <c r="O30" i="1"/>
  <c r="O21" i="1"/>
  <c r="O33" i="1"/>
  <c r="O27" i="1"/>
  <c r="O29" i="1"/>
  <c r="O32" i="1"/>
  <c r="O28" i="1"/>
  <c r="O26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<sst xmlns="http://schemas.openxmlformats.org/spreadsheetml/2006/main" count="104" uniqueCount="85">
  <si>
    <t>V0887 Per / GSC 2859-0900</t>
  </si>
  <si>
    <t>SUMMARY OUTPUT</t>
  </si>
  <si>
    <t>System Type:</t>
  </si>
  <si>
    <t>EA</t>
  </si>
  <si>
    <t>Per</t>
  </si>
  <si>
    <t>Regression Statistics</t>
  </si>
  <si>
    <t>GCVS 4 Eph.</t>
  </si>
  <si>
    <t>Multiple R</t>
  </si>
  <si>
    <t>My time zone &gt;&gt;&gt;&gt;&gt;</t>
  </si>
  <si>
    <t>(PST=8, PDT=MDT=7, MDT=CST=6, etc.)</t>
  </si>
  <si>
    <t>R Square</t>
  </si>
  <si>
    <t>--- Working ----</t>
  </si>
  <si>
    <t>Adjusted R Square</t>
  </si>
  <si>
    <t>Epoch =</t>
  </si>
  <si>
    <t>OEJV 0091</t>
  </si>
  <si>
    <t>Standard Error</t>
  </si>
  <si>
    <t>Period =</t>
  </si>
  <si>
    <t>Observations</t>
  </si>
  <si>
    <t>Start of linear fit &gt;&gt;&gt;&gt;&gt;&gt;&gt;&gt;&gt;&gt;&gt;&gt;&gt;&gt;&gt;&gt;&gt;&gt;&gt;&gt;&gt;</t>
  </si>
  <si>
    <t>Linear</t>
  </si>
  <si>
    <t>Quadratic</t>
  </si>
  <si>
    <t>ANOVA</t>
  </si>
  <si>
    <t>LS Intercept =</t>
  </si>
  <si>
    <t>df</t>
  </si>
  <si>
    <t>SS</t>
  </si>
  <si>
    <t>MS</t>
  </si>
  <si>
    <t>F</t>
  </si>
  <si>
    <t>Significance F</t>
  </si>
  <si>
    <t>LS Slope =</t>
  </si>
  <si>
    <t>Regression</t>
  </si>
  <si>
    <t>LS Quadr term =</t>
  </si>
  <si>
    <t>na</t>
  </si>
  <si>
    <t>Residual</t>
  </si>
  <si>
    <t>Total</t>
  </si>
  <si>
    <t>New epoch =</t>
  </si>
  <si>
    <t>Add cycle</t>
  </si>
  <si>
    <t>New Period =</t>
  </si>
  <si>
    <t>JD today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</si>
  <si>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</si>
  <si>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</si>
  <si>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</si>
  <si>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</si>
  <si>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</si>
  <si>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</si>
  <si>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</si>
  <si>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# of data points:</t>
  </si>
  <si>
    <t>Old Cycle</t>
  </si>
  <si>
    <t>Intercept</t>
  </si>
  <si>
    <t>New Ephemeris =</t>
  </si>
  <si>
    <t>New Cycle</t>
  </si>
  <si>
    <t>X Variable 1</t>
  </si>
  <si>
    <t>Next ToM</t>
  </si>
  <si>
    <t>Source</t>
  </si>
  <si>
    <t>Typ</t>
  </si>
  <si>
    <t>ToM</t>
  </si>
  <si>
    <t>error</t>
  </si>
  <si>
    <t>n'</t>
  </si>
  <si>
    <t>n</t>
  </si>
  <si>
    <t>O-C</t>
  </si>
  <si>
    <t>ASAS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</si>
  <si>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</si>
  <si>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</si>
  <si>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</si>
  <si>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</si>
  <si>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</si>
  <si>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</si>
  <si>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</si>
  <si>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</si>
  <si>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</si>
  <si>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Rejected</t>
  </si>
  <si>
    <t>IBVS 5960</t>
  </si>
  <si>
    <t>I</t>
  </si>
  <si>
    <t>IBVS 6070</t>
  </si>
  <si>
    <t>IBVS 6011</t>
  </si>
  <si>
    <t>IBVS 6118</t>
  </si>
  <si>
    <t>IBVS 6152</t>
  </si>
  <si>
    <t>OEJV 0168</t>
  </si>
  <si>
    <t>II</t>
  </si>
  <si>
    <t>IBVS 6196</t>
  </si>
  <si>
    <t>OEJV 0179</t>
  </si>
  <si>
    <t>RHN 2020</t>
  </si>
  <si>
    <t>OEJV 0211</t>
  </si>
  <si>
    <t>VSB, 91</t>
  </si>
  <si>
    <t>V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</si>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</sst>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\ h:mm"/>
    <numFmt numFmtId="167" formatCode="0.0000"/>
    <numFmt numFmtId="168" formatCode="0.00000"/>
    <numFmt numFmtId="169" formatCode="dd/mm/yyyy"/>
  </numFmts>
  <fonts count="16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" fillId="0" borderId="0"/>
    <xf numFmtId="0" fontId="14" fillId="0" borderId="0"/>
  </cellStyleXfs>
  <cellXfs count="60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Font="1">
      <alignment vertical="top"/>
    </xf>
    <xf numFmtId="0" fontId="0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Fill="1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0" fillId="0" borderId="1" xfId="0" applyFont="1" applyBorder="1" applyAlignment="1">
      <alignment vertical="center"/>
    </xf>
    <xf numFmtId="0" fontId="0" fillId="0" borderId="5" xfId="0" applyFont="1" applyFill="1" applyBorder="1" applyAlignment="1"/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5" xfId="0" applyFont="1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165" fontId="8" fillId="0" borderId="0" xfId="0" applyNumberFormat="1" applyFont="1">
      <alignment vertical="top"/>
    </xf>
    <xf numFmtId="0" fontId="4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5" applyFont="1" applyAlignment="1">
      <alignment wrapText="1"/>
    </xf>
    <xf numFmtId="0" fontId="13" fillId="0" borderId="0" xfId="5" applyFont="1" applyAlignment="1">
      <alignment horizontal="center" wrapText="1"/>
    </xf>
    <xf numFmtId="0" fontId="13" fillId="0" borderId="0" xfId="5" applyFont="1" applyAlignment="1">
      <alignment horizontal="left" wrapText="1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4" fillId="0" borderId="0" xfId="0" applyFont="1" applyBorder="1" applyAlignment="1"/>
    <xf numFmtId="0" fontId="0" fillId="0" borderId="0" xfId="0" applyBorder="1" applyAlignment="1"/>
    <xf numFmtId="167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13" fillId="0" borderId="0" xfId="5" applyFont="1"/>
    <xf numFmtId="0" fontId="13" fillId="0" borderId="0" xfId="5" applyFont="1" applyAlignment="1">
      <alignment horizontal="center"/>
    </xf>
    <xf numFmtId="0" fontId="13" fillId="0" borderId="0" xfId="5" applyFont="1" applyAlignment="1">
      <alignment horizontal="left"/>
    </xf>
    <xf numFmtId="0" fontId="3" fillId="0" borderId="2" xfId="0" applyFont="1" applyFill="1" applyBorder="1" applyAlignment="1">
      <alignment horizont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8" fontId="15" fillId="0" borderId="0" xfId="0" applyNumberFormat="1" applyFont="1" applyAlignment="1">
      <alignment vertical="center" wrapText="1"/>
    </xf>
    <xf numFmtId="169" fontId="0" fillId="0" borderId="0" xfId="0" applyNumberFormat="1" applyAlignment="1"/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22033341369002"/>
          <c:y val="5.3221434100999269E-2"/>
          <c:w val="0.83018995398172479"/>
          <c:h val="0.767509102298621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Active!$H$21:$H$35</c:f>
              <c:numCache>
                <c:formatCode>General</c:formatCode>
                <c:ptCount val="1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CE-4CC2-8C4D-D6C181A681CD}"/>
            </c:ext>
          </c:extLst>
        </c:ser>
        <c:ser>
          <c:idx val="1"/>
          <c:order val="1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Active!$J$21:$J$35</c:f>
              <c:numCache>
                <c:formatCode>General</c:formatCode>
                <c:ptCount val="15"/>
                <c:pt idx="2">
                  <c:v>-1.38200000001234E-2</c:v>
                </c:pt>
                <c:pt idx="4">
                  <c:v>-1.6280000003462192E-2</c:v>
                </c:pt>
                <c:pt idx="5">
                  <c:v>-1.7199999994772952E-2</c:v>
                </c:pt>
                <c:pt idx="7">
                  <c:v>-1.9220000001951121E-2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CE-4CC2-8C4D-D6C181A681CD}"/>
            </c:ext>
          </c:extLst>
        </c:ser>
        <c:ser>
          <c:idx val="2"/>
          <c:order val="2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Active!$K$21:$K$35</c:f>
              <c:numCache>
                <c:formatCode>General</c:formatCode>
                <c:ptCount val="15"/>
                <c:pt idx="1">
                  <c:v>-1.3819999992847443E-2</c:v>
                </c:pt>
                <c:pt idx="3">
                  <c:v>-1.2539999996079132E-2</c:v>
                </c:pt>
                <c:pt idx="8">
                  <c:v>-1.7379999997501727E-2</c:v>
                </c:pt>
                <c:pt idx="9">
                  <c:v>-2.0069999998668209E-2</c:v>
                </c:pt>
                <c:pt idx="10">
                  <c:v>-2.0819999990635552E-2</c:v>
                </c:pt>
                <c:pt idx="11">
                  <c:v>-2.1750000028987415E-2</c:v>
                </c:pt>
                <c:pt idx="12">
                  <c:v>-1.2889999969047494E-2</c:v>
                </c:pt>
                <c:pt idx="13">
                  <c:v>-2.749999999650754E-2</c:v>
                </c:pt>
                <c:pt idx="14">
                  <c:v>-2.7219999996304978E-2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CE-4CC2-8C4D-D6C181A681CD}"/>
            </c:ext>
          </c:extLst>
        </c:ser>
        <c:ser>
          <c:idx val="3"/>
          <c:order val="3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Active!$O$21:$O$35</c:f>
              <c:numCache>
                <c:formatCode>General</c:formatCode>
                <c:ptCount val="15"/>
                <c:pt idx="0">
                  <c:v>3.5023523163627834E-3</c:v>
                </c:pt>
                <c:pt idx="1">
                  <c:v>-1.2182335390423366E-2</c:v>
                </c:pt>
                <c:pt idx="2">
                  <c:v>-1.3631513888910707E-2</c:v>
                </c:pt>
                <c:pt idx="3">
                  <c:v>-1.3649819301523178E-2</c:v>
                </c:pt>
                <c:pt idx="4">
                  <c:v>-1.6737332228826736E-2</c:v>
                </c:pt>
                <c:pt idx="5">
                  <c:v>-1.6816655683480782E-2</c:v>
                </c:pt>
                <c:pt idx="6">
                  <c:v>-1.7130898599994879E-2</c:v>
                </c:pt>
                <c:pt idx="7">
                  <c:v>-1.807057644743509E-2</c:v>
                </c:pt>
                <c:pt idx="8">
                  <c:v>-1.8152950804191215E-2</c:v>
                </c:pt>
                <c:pt idx="9">
                  <c:v>-1.8323801321907616E-2</c:v>
                </c:pt>
                <c:pt idx="10">
                  <c:v>-1.9397718861839289E-2</c:v>
                </c:pt>
                <c:pt idx="11">
                  <c:v>-2.0953678933899381E-2</c:v>
                </c:pt>
                <c:pt idx="12">
                  <c:v>-2.2555402537490651E-2</c:v>
                </c:pt>
                <c:pt idx="13">
                  <c:v>-2.6625305941663523E-2</c:v>
                </c:pt>
                <c:pt idx="14">
                  <c:v>-2.6704629396317566E-2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CE-4CC2-8C4D-D6C181A681CD}"/>
            </c:ext>
          </c:extLst>
        </c:ser>
        <c:ser>
          <c:idx val="4"/>
          <c:order val="4"/>
          <c:tx>
            <c:strRef>
              <c:f>Active!$U$20</c:f>
              <c:strCache>
                <c:ptCount val="1"/>
                <c:pt idx="0">
                  <c:v>Rejected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Active!$U$21:$U$35</c:f>
              <c:numCache>
                <c:formatCode>General</c:formatCode>
                <c:ptCount val="15"/>
                <c:pt idx="7">
                  <c:v>-1.9220000001951121E-2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CE-4CC2-8C4D-D6C181A68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734776"/>
        <c:axId val="1"/>
      </c:scatterChart>
      <c:valAx>
        <c:axId val="4717347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642285280375"/>
              <c:y val="0.91036649830535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8616352201257862E-3"/>
              <c:y val="0.322129733783277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734776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754882054837473E-2"/>
          <c:y val="0.91036649830535887"/>
          <c:w val="0.65880602188877324"/>
          <c:h val="5.60227030444724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V0887 Per - O-C Diagr.</a:t>
            </a:r>
          </a:p>
        </c:rich>
      </c:tx>
      <c:layout>
        <c:manualLayout>
          <c:xMode val="edge"/>
          <c:yMode val="edge"/>
          <c:x val="0.3588593317727175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458592076342"/>
          <c:y val="0.22754524283256169"/>
          <c:w val="0.81081199971260276"/>
          <c:h val="0.55688704166916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Active!$H$21:$H$35</c:f>
              <c:numCache>
                <c:formatCode>General</c:formatCode>
                <c:ptCount val="1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07-4E78-A315-38CC417C4AA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Active!$I$21:$I$35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07-4E78-A315-38CC417C4AA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Active!$J$21:$J$35</c:f>
              <c:numCache>
                <c:formatCode>General</c:formatCode>
                <c:ptCount val="15"/>
                <c:pt idx="2">
                  <c:v>-1.38200000001234E-2</c:v>
                </c:pt>
                <c:pt idx="4">
                  <c:v>-1.6280000003462192E-2</c:v>
                </c:pt>
                <c:pt idx="5">
                  <c:v>-1.7199999994772952E-2</c:v>
                </c:pt>
                <c:pt idx="7">
                  <c:v>-1.9220000001951121E-2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07-4E78-A315-38CC417C4AA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Active!$K$21:$K$35</c:f>
              <c:numCache>
                <c:formatCode>General</c:formatCode>
                <c:ptCount val="15"/>
                <c:pt idx="1">
                  <c:v>-1.3819999992847443E-2</c:v>
                </c:pt>
                <c:pt idx="3">
                  <c:v>-1.2539999996079132E-2</c:v>
                </c:pt>
                <c:pt idx="8">
                  <c:v>-1.7379999997501727E-2</c:v>
                </c:pt>
                <c:pt idx="9">
                  <c:v>-2.0069999998668209E-2</c:v>
                </c:pt>
                <c:pt idx="10">
                  <c:v>-2.0819999990635552E-2</c:v>
                </c:pt>
                <c:pt idx="11">
                  <c:v>-2.1750000028987415E-2</c:v>
                </c:pt>
                <c:pt idx="12">
                  <c:v>-1.2889999969047494E-2</c:v>
                </c:pt>
                <c:pt idx="13">
                  <c:v>-2.749999999650754E-2</c:v>
                </c:pt>
                <c:pt idx="14">
                  <c:v>-2.7219999996304978E-2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07-4E78-A315-38CC417C4AA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Active!$L$21:$L$35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07-4E78-A315-38CC417C4AA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Active!$M$21:$M$35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07-4E78-A315-38CC417C4AA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Active!$N$21:$N$35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07-4E78-A315-38CC417C4AA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Active!$O$21:$O$35</c:f>
              <c:numCache>
                <c:formatCode>General</c:formatCode>
                <c:ptCount val="15"/>
                <c:pt idx="0">
                  <c:v>3.5023523163627834E-3</c:v>
                </c:pt>
                <c:pt idx="1">
                  <c:v>-1.2182335390423366E-2</c:v>
                </c:pt>
                <c:pt idx="2">
                  <c:v>-1.3631513888910707E-2</c:v>
                </c:pt>
                <c:pt idx="3">
                  <c:v>-1.3649819301523178E-2</c:v>
                </c:pt>
                <c:pt idx="4">
                  <c:v>-1.6737332228826736E-2</c:v>
                </c:pt>
                <c:pt idx="5">
                  <c:v>-1.6816655683480782E-2</c:v>
                </c:pt>
                <c:pt idx="6">
                  <c:v>-1.7130898599994879E-2</c:v>
                </c:pt>
                <c:pt idx="7">
                  <c:v>-1.807057644743509E-2</c:v>
                </c:pt>
                <c:pt idx="8">
                  <c:v>-1.8152950804191215E-2</c:v>
                </c:pt>
                <c:pt idx="9">
                  <c:v>-1.8323801321907616E-2</c:v>
                </c:pt>
                <c:pt idx="10">
                  <c:v>-1.9397718861839289E-2</c:v>
                </c:pt>
                <c:pt idx="11">
                  <c:v>-2.0953678933899381E-2</c:v>
                </c:pt>
                <c:pt idx="12">
                  <c:v>-2.2555402537490651E-2</c:v>
                </c:pt>
                <c:pt idx="13">
                  <c:v>-2.6625305941663523E-2</c:v>
                </c:pt>
                <c:pt idx="14">
                  <c:v>-2.6704629396317566E-2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07-4E78-A315-38CC417C4AA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Rejected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Active!$U$21:$U$35</c:f>
              <c:numCache>
                <c:formatCode>General</c:formatCode>
                <c:ptCount val="15"/>
                <c:pt idx="7">
                  <c:v>-1.9220000001951121E-2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07-4E78-A315-38CC417C4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736416"/>
        <c:axId val="1"/>
      </c:scatterChart>
      <c:valAx>
        <c:axId val="471736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7364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966998494557547"/>
          <c:y val="0.91317491002247464"/>
          <c:w val="0.77027137373594068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0</xdr:row>
      <xdr:rowOff>0</xdr:rowOff>
    </xdr:from>
    <xdr:to>
      <xdr:col>27</xdr:col>
      <xdr:colOff>38100</xdr:colOff>
      <xdr:row>20</xdr:row>
      <xdr:rowOff>66675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1AB0A17-8AA2-29FC-0104-04929842D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0</xdr:row>
      <xdr:rowOff>0</xdr:rowOff>
    </xdr:from>
    <xdr:to>
      <xdr:col>17</xdr:col>
      <xdr:colOff>390525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DB38ED3C-3CED-5AAC-F281-813DE32C8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workbookViewId="0">
      <selection activeCell="C18" sqref="C18:D18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59" customWidth="1"/>
    <col min="18" max="16384" width="10.28515625" style="1"/>
  </cols>
  <sheetData>
    <row r="1" spans="1:28" ht="20.25">
      <c r="A1" s="2" t="s">
        <v>0</v>
      </c>
      <c r="Q1" s="1"/>
      <c r="T1" s="3" t="s">
        <v>1</v>
      </c>
      <c r="U1" s="3"/>
      <c r="V1" s="3"/>
      <c r="W1" s="3"/>
      <c r="X1" s="3"/>
      <c r="Y1" s="3"/>
      <c r="Z1" s="3"/>
      <c r="AA1" s="3"/>
      <c r="AB1" s="3"/>
    </row>
    <row r="2" spans="1:28">
      <c r="A2" s="1" t="s">
        <v>2</v>
      </c>
      <c r="B2" s="1" t="s">
        <v>3</v>
      </c>
      <c r="D2" s="4" t="s">
        <v>4</v>
      </c>
      <c r="E2" s="5"/>
      <c r="Q2" s="1"/>
      <c r="T2" s="3"/>
      <c r="U2" s="3"/>
      <c r="V2" s="3"/>
      <c r="W2" s="3"/>
      <c r="X2" s="3"/>
      <c r="Y2" s="3"/>
      <c r="Z2" s="3"/>
      <c r="AA2" s="3"/>
      <c r="AB2" s="3"/>
    </row>
    <row r="3" spans="1:28">
      <c r="Q3" s="1"/>
      <c r="T3" s="55" t="s">
        <v>5</v>
      </c>
      <c r="U3" s="55"/>
      <c r="V3" s="3"/>
      <c r="W3" s="3"/>
      <c r="X3" s="3"/>
      <c r="Y3" s="3"/>
      <c r="Z3" s="3"/>
      <c r="AA3" s="3"/>
      <c r="AB3" s="3"/>
    </row>
    <row r="4" spans="1:28">
      <c r="A4" s="7" t="s">
        <v>6</v>
      </c>
      <c r="C4" s="8">
        <v>51540.63</v>
      </c>
      <c r="D4" s="9">
        <v>1.53444</v>
      </c>
      <c r="Q4" s="1"/>
      <c r="T4" s="10" t="s">
        <v>7</v>
      </c>
      <c r="U4" s="10">
        <v>0.98154796856797843</v>
      </c>
      <c r="V4" s="3"/>
      <c r="W4" s="3"/>
      <c r="X4" s="3"/>
      <c r="Y4" s="3"/>
      <c r="Z4" s="3"/>
      <c r="AA4" s="3"/>
      <c r="AB4" s="3"/>
    </row>
    <row r="5" spans="1:28">
      <c r="A5" s="11" t="s">
        <v>8</v>
      </c>
      <c r="B5" s="3"/>
      <c r="C5" s="12">
        <v>-9.5</v>
      </c>
      <c r="D5" s="3" t="s">
        <v>9</v>
      </c>
      <c r="Q5" s="1"/>
      <c r="T5" s="10" t="s">
        <v>10</v>
      </c>
      <c r="U5" s="10">
        <v>0.96343641459992524</v>
      </c>
      <c r="V5" s="3"/>
      <c r="W5" s="3"/>
      <c r="X5" s="3"/>
      <c r="Y5" s="3"/>
      <c r="Z5" s="3"/>
      <c r="AA5" s="3"/>
      <c r="AB5" s="3"/>
    </row>
    <row r="6" spans="1:28">
      <c r="A6" s="7" t="s">
        <v>11</v>
      </c>
      <c r="Q6" s="1"/>
      <c r="T6" s="10" t="s">
        <v>12</v>
      </c>
      <c r="U6" s="10">
        <v>0.95937379399991707</v>
      </c>
      <c r="V6" s="3"/>
      <c r="W6" s="3"/>
      <c r="X6" s="3"/>
      <c r="Y6" s="3"/>
      <c r="Z6" s="3"/>
      <c r="AA6" s="3"/>
      <c r="AB6" s="3"/>
    </row>
    <row r="7" spans="1:28">
      <c r="A7" s="1" t="s">
        <v>13</v>
      </c>
      <c r="C7" s="1">
        <v>51540.63</v>
      </c>
      <c r="D7" s="13" t="s">
        <v>14</v>
      </c>
      <c r="Q7" s="1"/>
      <c r="T7" s="10" t="s">
        <v>15</v>
      </c>
      <c r="U7" s="10">
        <v>1.0120063661661744E-3</v>
      </c>
      <c r="V7" s="3"/>
      <c r="W7" s="3"/>
      <c r="X7" s="3"/>
      <c r="Y7" s="3"/>
      <c r="Z7" s="3"/>
      <c r="AA7" s="3"/>
      <c r="AB7" s="3"/>
    </row>
    <row r="8" spans="1:28">
      <c r="A8" s="1" t="s">
        <v>16</v>
      </c>
      <c r="C8" s="1">
        <v>1.53444</v>
      </c>
      <c r="D8" s="13" t="s">
        <v>14</v>
      </c>
      <c r="Q8" s="1"/>
      <c r="T8" s="14" t="s">
        <v>17</v>
      </c>
      <c r="U8" s="14">
        <v>11</v>
      </c>
      <c r="V8" s="3"/>
      <c r="W8" s="3"/>
      <c r="X8" s="3"/>
      <c r="Y8" s="3"/>
      <c r="Z8" s="3"/>
      <c r="AA8" s="3"/>
      <c r="AB8" s="3"/>
    </row>
    <row r="9" spans="1:28">
      <c r="A9" s="15" t="s">
        <v>18</v>
      </c>
      <c r="B9" s="16">
        <v>22</v>
      </c>
      <c r="C9" s="17" t="str">
        <f>"F"&amp;B9</f>
        <v>F22</v>
      </c>
      <c r="D9" s="18" t="str">
        <f>"G"&amp;B9</f>
        <v>G22</v>
      </c>
      <c r="Q9" s="1"/>
      <c r="T9" s="3"/>
      <c r="U9" s="3"/>
      <c r="V9" s="3"/>
      <c r="W9" s="3"/>
      <c r="X9" s="3"/>
      <c r="Y9" s="3"/>
      <c r="Z9" s="3"/>
      <c r="AA9" s="3"/>
      <c r="AB9" s="3"/>
    </row>
    <row r="10" spans="1:28">
      <c r="A10" s="3"/>
      <c r="B10" s="3"/>
      <c r="C10" s="19" t="s">
        <v>19</v>
      </c>
      <c r="D10" s="19" t="s">
        <v>20</v>
      </c>
      <c r="E10" s="3"/>
      <c r="Q10" s="1"/>
      <c r="T10" s="3" t="s">
        <v>21</v>
      </c>
      <c r="U10" s="3"/>
      <c r="V10" s="3"/>
      <c r="W10" s="3"/>
      <c r="X10" s="3"/>
      <c r="Y10" s="3"/>
      <c r="Z10" s="3"/>
      <c r="AA10" s="3"/>
      <c r="AB10" s="3"/>
    </row>
    <row r="11" spans="1:28">
      <c r="A11" s="3" t="s">
        <v>22</v>
      </c>
      <c r="B11" s="3"/>
      <c r="C11" s="20">
        <f ca="1">INTERCEPT(INDIRECT($D$9):G992,INDIRECT($C$9):F992)</f>
        <v>3.5023523163627834E-3</v>
      </c>
      <c r="D11" s="4"/>
      <c r="E11" s="3"/>
      <c r="Q11" s="1"/>
      <c r="T11" s="6"/>
      <c r="U11" s="6" t="s">
        <v>23</v>
      </c>
      <c r="V11" s="6" t="s">
        <v>24</v>
      </c>
      <c r="W11" s="6" t="s">
        <v>25</v>
      </c>
      <c r="X11" s="6" t="s">
        <v>26</v>
      </c>
      <c r="Y11" s="6" t="s">
        <v>27</v>
      </c>
      <c r="Z11" s="3"/>
      <c r="AA11" s="3"/>
      <c r="AB11" s="3"/>
    </row>
    <row r="12" spans="1:28">
      <c r="A12" s="3" t="s">
        <v>28</v>
      </c>
      <c r="B12" s="3"/>
      <c r="C12" s="20">
        <f ca="1">SLOPE(INDIRECT($D$9):G992,INDIRECT($C$9):F992)</f>
        <v>-6.1018042041572264E-6</v>
      </c>
      <c r="D12" s="4"/>
      <c r="E12" s="3"/>
      <c r="Q12" s="1"/>
      <c r="T12" s="10" t="s">
        <v>29</v>
      </c>
      <c r="U12" s="10">
        <v>1</v>
      </c>
      <c r="V12" s="10">
        <v>2.4287526071846123E-4</v>
      </c>
      <c r="W12" s="10">
        <v>2.4287526071846123E-4</v>
      </c>
      <c r="X12" s="10">
        <v>237.14653900931657</v>
      </c>
      <c r="Y12" s="10">
        <v>8.9763452935100266E-8</v>
      </c>
      <c r="Z12" s="3"/>
      <c r="AA12" s="3"/>
      <c r="AB12" s="3"/>
    </row>
    <row r="13" spans="1:28">
      <c r="A13" s="3" t="s">
        <v>30</v>
      </c>
      <c r="B13" s="3"/>
      <c r="C13" s="4" t="s">
        <v>31</v>
      </c>
      <c r="Q13" s="1"/>
      <c r="T13" s="10" t="s">
        <v>32</v>
      </c>
      <c r="U13" s="10">
        <v>9</v>
      </c>
      <c r="V13" s="10">
        <v>9.2174119664477853E-6</v>
      </c>
      <c r="W13" s="10">
        <v>1.024156885160865E-6</v>
      </c>
      <c r="X13" s="10"/>
      <c r="Y13" s="10"/>
      <c r="Z13" s="3"/>
      <c r="AA13" s="3"/>
      <c r="AB13" s="3"/>
    </row>
    <row r="14" spans="1:28">
      <c r="A14" s="3"/>
      <c r="B14" s="3"/>
      <c r="C14" s="3"/>
      <c r="Q14" s="1"/>
      <c r="T14" s="14" t="s">
        <v>33</v>
      </c>
      <c r="U14" s="14">
        <v>10</v>
      </c>
      <c r="V14" s="14">
        <v>2.5209267268490901E-4</v>
      </c>
      <c r="W14" s="14"/>
      <c r="X14" s="14"/>
      <c r="Y14" s="14"/>
      <c r="Z14" s="3"/>
      <c r="AA14" s="3"/>
      <c r="AB14" s="3"/>
    </row>
    <row r="15" spans="1:28">
      <c r="A15" s="21" t="s">
        <v>34</v>
      </c>
      <c r="B15" s="3"/>
      <c r="C15" s="22">
        <f ca="1">(C7+C11)+(C8+C12)*INT(MAX(F21:F3533))</f>
        <v>59556.516186527151</v>
      </c>
      <c r="E15" s="23" t="s">
        <v>35</v>
      </c>
      <c r="F15" s="12">
        <v>1</v>
      </c>
      <c r="Q15" s="1"/>
      <c r="T15" s="3"/>
      <c r="U15" s="3"/>
      <c r="V15" s="3"/>
      <c r="W15" s="3"/>
      <c r="X15" s="3"/>
      <c r="Y15" s="3"/>
      <c r="Z15" s="3"/>
      <c r="AA15" s="3"/>
      <c r="AB15" s="3"/>
    </row>
    <row r="16" spans="1:28">
      <c r="A16" s="21" t="s">
        <v>36</v>
      </c>
      <c r="B16" s="3"/>
      <c r="C16" s="22">
        <f ca="1">+C8+C12</f>
        <v>1.5344338981957959</v>
      </c>
      <c r="E16" s="23" t="s">
        <v>37</v>
      </c>
      <c r="F16" s="20">
        <f ca="1">NOW()+15018.5+$C$5/24</f>
        <v>59965.842954398147</v>
      </c>
      <c r="H16" s="1">
        <v>59136.080492119698</v>
      </c>
      <c r="I16" s="1">
        <v>1.5344336831896099</v>
      </c>
      <c r="Q16" s="1"/>
      <c r="T16" s="6"/>
      <c r="U16" s="6" t="s">
        <v>38</v>
      </c>
      <c r="V16" s="6" t="s">
        <v>15</v>
      </c>
      <c r="W16" s="6" t="s">
        <v>39</v>
      </c>
      <c r="X16" s="6" t="s">
        <v>40</v>
      </c>
      <c r="Y16" s="6" t="s">
        <v>41</v>
      </c>
      <c r="Z16" s="6" t="s">
        <v>42</v>
      </c>
      <c r="AA16" s="6" t="s">
        <v>43</v>
      </c>
      <c r="AB16" s="6" t="s">
        <v>44</v>
      </c>
    </row>
    <row r="17" spans="1:28">
      <c r="A17" s="23" t="s">
        <v>45</v>
      </c>
      <c r="B17" s="3"/>
      <c r="C17" s="3">
        <f>COUNT(C21:C2191)</f>
        <v>17</v>
      </c>
      <c r="E17" s="23" t="s">
        <v>46</v>
      </c>
      <c r="F17" s="20">
        <f ca="1">ROUND(2*(F16-$C$7)/$C$8,0)/2+F15</f>
        <v>5491.5</v>
      </c>
      <c r="Q17" s="1"/>
      <c r="T17" s="10" t="s">
        <v>47</v>
      </c>
      <c r="U17" s="10">
        <v>3.7603310644053916E-3</v>
      </c>
      <c r="V17" s="10">
        <v>1.4910629858725158E-3</v>
      </c>
      <c r="W17" s="10">
        <v>2.5219129574227761</v>
      </c>
      <c r="X17" s="10">
        <v>3.2665957846075774E-2</v>
      </c>
      <c r="Y17" s="10">
        <v>3.8730968001791412E-4</v>
      </c>
      <c r="Z17" s="10">
        <v>7.1333524487928691E-3</v>
      </c>
      <c r="AA17" s="10">
        <v>3.8730968001791412E-4</v>
      </c>
      <c r="AB17" s="10">
        <v>7.1333524487928691E-3</v>
      </c>
    </row>
    <row r="18" spans="1:28">
      <c r="A18" s="21" t="s">
        <v>48</v>
      </c>
      <c r="B18" s="3"/>
      <c r="C18" s="24">
        <f ca="1">+C15</f>
        <v>59556.516186527151</v>
      </c>
      <c r="D18" s="25">
        <f ca="1">+C16</f>
        <v>1.5344338981957959</v>
      </c>
      <c r="E18" s="23" t="s">
        <v>49</v>
      </c>
      <c r="F18" s="18">
        <f ca="1">ROUND(2*(F16-$C$15)/$C$16,0)/2+F15</f>
        <v>268</v>
      </c>
      <c r="Q18" s="1"/>
      <c r="T18" s="14" t="s">
        <v>50</v>
      </c>
      <c r="U18" s="14">
        <v>-6.3168103854803025E-6</v>
      </c>
      <c r="V18" s="14">
        <v>4.1019413385596301E-7</v>
      </c>
      <c r="W18" s="14">
        <v>-15.399562948646187</v>
      </c>
      <c r="X18" s="14">
        <v>8.976345293510061E-8</v>
      </c>
      <c r="Y18" s="14">
        <v>-7.2447346907281016E-6</v>
      </c>
      <c r="Z18" s="14">
        <v>-5.3888860802325034E-6</v>
      </c>
      <c r="AA18" s="14">
        <v>-7.2447346907281016E-6</v>
      </c>
      <c r="AB18" s="14">
        <v>-5.3888860802325034E-6</v>
      </c>
    </row>
    <row r="19" spans="1:28">
      <c r="E19" s="23" t="s">
        <v>51</v>
      </c>
      <c r="F19" s="26">
        <f ca="1">+$C$15+$C$16*F18-15018.5-$C$5/24</f>
        <v>44949.640304576962</v>
      </c>
      <c r="Q19" s="1"/>
    </row>
    <row r="20" spans="1:28">
      <c r="A20" s="19" t="s">
        <v>52</v>
      </c>
      <c r="B20" s="19" t="s">
        <v>53</v>
      </c>
      <c r="C20" s="19" t="s">
        <v>54</v>
      </c>
      <c r="D20" s="19" t="s">
        <v>55</v>
      </c>
      <c r="E20" s="19" t="s">
        <v>56</v>
      </c>
      <c r="F20" s="19" t="s">
        <v>57</v>
      </c>
      <c r="G20" s="19" t="s">
        <v>58</v>
      </c>
      <c r="H20" s="27" t="s">
        <v>59</v>
      </c>
      <c r="I20" s="27" t="s">
        <v>60</v>
      </c>
      <c r="J20" s="27" t="s">
        <v>61</v>
      </c>
      <c r="K20" s="27" t="s">
        <v>62</v>
      </c>
      <c r="L20" s="27" t="s">
        <v>63</v>
      </c>
      <c r="M20" s="27" t="s">
        <v>64</v>
      </c>
      <c r="N20" s="27" t="s">
        <v>65</v>
      </c>
      <c r="O20" s="27" t="s">
        <v>66</v>
      </c>
      <c r="P20" s="27" t="s">
        <v>67</v>
      </c>
      <c r="Q20" s="19" t="s">
        <v>68</v>
      </c>
      <c r="U20" s="28" t="s">
        <v>69</v>
      </c>
    </row>
    <row r="21" spans="1:28">
      <c r="A21" s="13" t="s">
        <v>14</v>
      </c>
      <c r="C21" s="29">
        <v>51540.63</v>
      </c>
      <c r="D21" s="29" t="s">
        <v>31</v>
      </c>
      <c r="E21" s="1">
        <f>+(C21-C$7)/C$8</f>
        <v>0</v>
      </c>
      <c r="F21" s="1">
        <f>ROUND(2*E21,0)/2</f>
        <v>0</v>
      </c>
      <c r="G21" s="1">
        <f>+C21-(C$7+F21*C$8)</f>
        <v>0</v>
      </c>
      <c r="H21" s="1">
        <f>+G21</f>
        <v>0</v>
      </c>
      <c r="O21" s="1">
        <f ca="1">+C$11+C$12*$F21</f>
        <v>3.5023523163627834E-3</v>
      </c>
      <c r="Q21" s="59">
        <f>+C21-15018.5</f>
        <v>36522.129999999997</v>
      </c>
    </row>
    <row r="22" spans="1:28">
      <c r="A22" s="30" t="s">
        <v>70</v>
      </c>
      <c r="B22" s="31" t="s">
        <v>71</v>
      </c>
      <c r="C22" s="32">
        <v>55484.894200000002</v>
      </c>
      <c r="D22" s="32">
        <v>5.9999999999999995E-4</v>
      </c>
      <c r="E22" s="1">
        <f>+(C22-C$7)/C$8</f>
        <v>2570.4909934568996</v>
      </c>
      <c r="F22" s="1">
        <f>ROUND(2*E22,0)/2</f>
        <v>2570.5</v>
      </c>
      <c r="G22" s="1">
        <f>+C22-(C$7+F22*C$8)</f>
        <v>-1.3819999992847443E-2</v>
      </c>
      <c r="K22" s="1">
        <f>+G22</f>
        <v>-1.3819999992847443E-2</v>
      </c>
      <c r="O22" s="1">
        <f ca="1">+C$11+C$12*$F22</f>
        <v>-1.2182335390423366E-2</v>
      </c>
      <c r="Q22" s="59">
        <f>+C22-15018.5</f>
        <v>40466.394200000002</v>
      </c>
    </row>
    <row r="23" spans="1:28">
      <c r="A23" s="30" t="s">
        <v>72</v>
      </c>
      <c r="B23" s="31" t="s">
        <v>71</v>
      </c>
      <c r="C23" s="32">
        <v>55849.323700000001</v>
      </c>
      <c r="D23" s="32">
        <v>3.8E-3</v>
      </c>
      <c r="E23" s="1">
        <f>+(C23-C$7)/C$8</f>
        <v>2807.9909934568987</v>
      </c>
      <c r="F23" s="1">
        <f>ROUND(2*E23,0)/2</f>
        <v>2808</v>
      </c>
      <c r="G23" s="1">
        <f>+C23-(C$7+F23*C$8)</f>
        <v>-1.38200000001234E-2</v>
      </c>
      <c r="J23" s="1">
        <f>+G23</f>
        <v>-1.38200000001234E-2</v>
      </c>
      <c r="O23" s="1">
        <f ca="1">+C$11+C$12*$F23</f>
        <v>-1.3631513888910707E-2</v>
      </c>
      <c r="Q23" s="59">
        <f>+C23-15018.5</f>
        <v>40830.823700000001</v>
      </c>
    </row>
    <row r="24" spans="1:28">
      <c r="A24" s="33" t="s">
        <v>73</v>
      </c>
      <c r="B24" s="34" t="s">
        <v>71</v>
      </c>
      <c r="C24" s="33">
        <v>55853.9283</v>
      </c>
      <c r="D24" s="33">
        <v>2.0000000000000001E-4</v>
      </c>
      <c r="E24" s="1">
        <f>+(C24-C$7)/C$8</f>
        <v>2810.9918276374456</v>
      </c>
      <c r="F24" s="1">
        <f>ROUND(2*E24,0)/2</f>
        <v>2811</v>
      </c>
      <c r="G24" s="1">
        <f>+C24-(C$7+F24*C$8)</f>
        <v>-1.2539999996079132E-2</v>
      </c>
      <c r="K24" s="1">
        <f>+G24</f>
        <v>-1.2539999996079132E-2</v>
      </c>
      <c r="O24" s="1">
        <f ca="1">+C$11+C$12*$F24</f>
        <v>-1.3649819301523178E-2</v>
      </c>
      <c r="Q24" s="59">
        <f>+C24-15018.5</f>
        <v>40835.4283</v>
      </c>
    </row>
    <row r="25" spans="1:28">
      <c r="A25" s="35" t="s">
        <v>74</v>
      </c>
      <c r="B25" s="36" t="s">
        <v>71</v>
      </c>
      <c r="C25" s="32">
        <v>56630.351199999997</v>
      </c>
      <c r="D25" s="37">
        <v>5.3E-3</v>
      </c>
      <c r="E25" s="1">
        <f>+(C25-C$7)/C$8</f>
        <v>3316.9893902661556</v>
      </c>
      <c r="F25" s="1">
        <f>ROUND(2*E25,0)/2</f>
        <v>3317</v>
      </c>
      <c r="G25" s="1">
        <f>+C25-(C$7+F25*C$8)</f>
        <v>-1.6280000003462192E-2</v>
      </c>
      <c r="J25" s="1">
        <f>+G25</f>
        <v>-1.6280000003462192E-2</v>
      </c>
      <c r="O25" s="1">
        <f ca="1">+C$11+C$12*$F25</f>
        <v>-1.6737332228826736E-2</v>
      </c>
      <c r="Q25" s="59">
        <f>+C25-15018.5</f>
        <v>41611.851199999997</v>
      </c>
    </row>
    <row r="26" spans="1:28">
      <c r="A26" s="35" t="s">
        <v>74</v>
      </c>
      <c r="B26" s="36" t="s">
        <v>71</v>
      </c>
      <c r="C26" s="32">
        <v>56650.298000000003</v>
      </c>
      <c r="D26" s="37">
        <v>1.8E-3</v>
      </c>
      <c r="E26" s="1">
        <f>+(C26-C$7)/C$8</f>
        <v>3329.9887906988902</v>
      </c>
      <c r="F26" s="1">
        <f>ROUND(2*E26,0)/2</f>
        <v>3330</v>
      </c>
      <c r="G26" s="1">
        <f>+C26-(C$7+F26*C$8)</f>
        <v>-1.7199999994772952E-2</v>
      </c>
      <c r="J26" s="1">
        <f>+G26</f>
        <v>-1.7199999994772952E-2</v>
      </c>
      <c r="O26" s="1">
        <f ca="1">+C$11+C$12*$F26</f>
        <v>-1.6816655683480782E-2</v>
      </c>
      <c r="Q26" s="59">
        <f>+C26-15018.5</f>
        <v>41631.798000000003</v>
      </c>
    </row>
    <row r="27" spans="1:28">
      <c r="A27" s="40" t="s">
        <v>76</v>
      </c>
      <c r="B27" s="39" t="s">
        <v>77</v>
      </c>
      <c r="C27" s="41">
        <v>56729.332390000003</v>
      </c>
      <c r="D27" s="40">
        <v>6.9999999999999999E-4</v>
      </c>
      <c r="E27" s="1">
        <f>+(C27-C$7)/C$8</f>
        <v>3381.4957834780153</v>
      </c>
      <c r="F27" s="1">
        <f>ROUND(2*E27,0)/2</f>
        <v>3381.5</v>
      </c>
      <c r="O27" s="1">
        <f ca="1">+C$11+C$12*$F27</f>
        <v>-1.7130898599994879E-2</v>
      </c>
      <c r="Q27" s="59">
        <f>+C27-15018.5</f>
        <v>41710.832390000003</v>
      </c>
    </row>
    <row r="28" spans="1:28">
      <c r="A28" s="38" t="s">
        <v>75</v>
      </c>
      <c r="B28" s="39"/>
      <c r="C28" s="38">
        <v>56965.623399999997</v>
      </c>
      <c r="D28" s="38">
        <v>6.1999999999999998E-3</v>
      </c>
      <c r="E28" s="1">
        <f>+(C28-C$7)/C$8</f>
        <v>3535.487474257709</v>
      </c>
      <c r="F28" s="1">
        <f>ROUND(2*E28,0)/2</f>
        <v>3535.5</v>
      </c>
      <c r="G28" s="1">
        <f>+C28-(C$7+F28*C$8)</f>
        <v>-1.9220000001951121E-2</v>
      </c>
      <c r="J28" s="1">
        <f>+G28</f>
        <v>-1.9220000001951121E-2</v>
      </c>
      <c r="O28" s="1">
        <f ca="1">+C$11+C$12*$F28</f>
        <v>-1.807057644743509E-2</v>
      </c>
      <c r="Q28" s="59">
        <f>+C28-15018.5</f>
        <v>41947.123399999997</v>
      </c>
      <c r="U28" s="1">
        <f>+C28-(C$7+F28*C$8)</f>
        <v>-1.9220000001951121E-2</v>
      </c>
    </row>
    <row r="29" spans="1:28">
      <c r="A29" s="45" t="s">
        <v>79</v>
      </c>
      <c r="B29" s="46" t="s">
        <v>71</v>
      </c>
      <c r="C29" s="47">
        <v>56986.340179999999</v>
      </c>
      <c r="D29" s="47">
        <v>4.0000000000000002E-4</v>
      </c>
      <c r="E29" s="1">
        <f>+(C29-C$7)/C$8</f>
        <v>3548.9886733922485</v>
      </c>
      <c r="F29" s="1">
        <f>ROUND(2*E29,0)/2</f>
        <v>3549</v>
      </c>
      <c r="G29" s="1">
        <f>+C29-(C$7+F29*C$8)</f>
        <v>-1.7379999997501727E-2</v>
      </c>
      <c r="K29" s="1">
        <f>+G29</f>
        <v>-1.7379999997501727E-2</v>
      </c>
      <c r="O29" s="1">
        <f ca="1">+C$11+C$12*$F29</f>
        <v>-1.8152950804191215E-2</v>
      </c>
      <c r="Q29" s="59">
        <f>+C29-15018.5</f>
        <v>41967.840179999999</v>
      </c>
    </row>
    <row r="30" spans="1:28">
      <c r="A30" s="45" t="s">
        <v>79</v>
      </c>
      <c r="B30" s="46" t="s">
        <v>71</v>
      </c>
      <c r="C30" s="47">
        <v>57029.301809999997</v>
      </c>
      <c r="D30" s="47">
        <v>2.0000000000000001E-4</v>
      </c>
      <c r="E30" s="1">
        <f>+(C30-C$7)/C$8</f>
        <v>3576.9869203096891</v>
      </c>
      <c r="F30" s="1">
        <f>ROUND(2*E30,0)/2</f>
        <v>3577</v>
      </c>
      <c r="G30" s="1">
        <f>+C30-(C$7+F30*C$8)</f>
        <v>-2.0069999998668209E-2</v>
      </c>
      <c r="K30" s="1">
        <f>+G30</f>
        <v>-2.0069999998668209E-2</v>
      </c>
      <c r="O30" s="1">
        <f ca="1">+C$11+C$12*$F30</f>
        <v>-1.8323801321907616E-2</v>
      </c>
      <c r="Q30" s="59">
        <f>+C30-15018.5</f>
        <v>42010.801809999997</v>
      </c>
    </row>
    <row r="31" spans="1:28">
      <c r="A31" s="42" t="s">
        <v>78</v>
      </c>
      <c r="B31" s="43" t="s">
        <v>71</v>
      </c>
      <c r="C31" s="44">
        <v>57299.362500000003</v>
      </c>
      <c r="D31" s="44">
        <v>4.8999999999999998E-3</v>
      </c>
      <c r="E31" s="1">
        <f>+(C31-C$7)/C$8</f>
        <v>3752.9864315320283</v>
      </c>
      <c r="F31" s="1">
        <f>ROUND(2*E31,0)/2</f>
        <v>3753</v>
      </c>
      <c r="G31" s="1">
        <f>+C31-(C$7+F31*C$8)</f>
        <v>-2.0819999990635552E-2</v>
      </c>
      <c r="K31" s="1">
        <f>+G31</f>
        <v>-2.0819999990635552E-2</v>
      </c>
      <c r="O31" s="1">
        <f ca="1">+C$11+C$12*$F31</f>
        <v>-1.9397718861839289E-2</v>
      </c>
      <c r="Q31" s="59">
        <f>+C31-15018.5</f>
        <v>42280.862500000003</v>
      </c>
    </row>
    <row r="32" spans="1:28">
      <c r="A32" s="52" t="s">
        <v>81</v>
      </c>
      <c r="B32" s="53" t="s">
        <v>71</v>
      </c>
      <c r="C32" s="54">
        <v>57690.643769999966</v>
      </c>
      <c r="D32" s="54">
        <v>4.0000000000000002E-4</v>
      </c>
      <c r="E32" s="49">
        <f>+(C32-C$7)/C$8</f>
        <v>4007.9858254476999</v>
      </c>
      <c r="F32" s="49">
        <f>ROUND(2*E32,0)/2</f>
        <v>4008</v>
      </c>
      <c r="G32" s="1">
        <f>+C32-(C$7+F32*C$8)</f>
        <v>-2.1750000028987415E-2</v>
      </c>
      <c r="K32" s="1">
        <f>+G32</f>
        <v>-2.1750000028987415E-2</v>
      </c>
      <c r="O32" s="1">
        <f ca="1">+C$11+C$12*$F32</f>
        <v>-2.0953678933899381E-2</v>
      </c>
      <c r="Q32" s="59">
        <f>+C32-15018.5</f>
        <v>42672.143769999966</v>
      </c>
    </row>
    <row r="33" spans="1:17">
      <c r="A33" s="52" t="s">
        <v>81</v>
      </c>
      <c r="B33" s="53" t="s">
        <v>77</v>
      </c>
      <c r="C33" s="54">
        <v>58093.443130000029</v>
      </c>
      <c r="D33" s="54">
        <v>4.0000000000000002E-4</v>
      </c>
      <c r="E33" s="49">
        <f>+(C33-C$7)/C$8</f>
        <v>4270.4915995412211</v>
      </c>
      <c r="F33" s="49">
        <f>ROUND(2*E33,0)/2</f>
        <v>4270.5</v>
      </c>
      <c r="G33" s="1">
        <f>+C33-(C$7+F33*C$8)</f>
        <v>-1.2889999969047494E-2</v>
      </c>
      <c r="K33" s="1">
        <f>+G33</f>
        <v>-1.2889999969047494E-2</v>
      </c>
      <c r="O33" s="1">
        <f ca="1">+C$11+C$12*$F33</f>
        <v>-2.2555402537490651E-2</v>
      </c>
      <c r="Q33" s="59">
        <f>+C33-15018.5</f>
        <v>43074.943130000029</v>
      </c>
    </row>
    <row r="34" spans="1:17">
      <c r="A34" s="48" t="s">
        <v>80</v>
      </c>
      <c r="B34" s="49"/>
      <c r="C34" s="50">
        <v>59116.9</v>
      </c>
      <c r="D34" s="51">
        <v>2.0000000000000001E-4</v>
      </c>
      <c r="E34" s="49">
        <f>+(C34-C$7)/C$8</f>
        <v>4937.4820781522931</v>
      </c>
      <c r="F34" s="49">
        <f>ROUND(2*E34,0)/2</f>
        <v>4937.5</v>
      </c>
      <c r="G34" s="1">
        <f>+C34-(C$7+F34*C$8)</f>
        <v>-2.749999999650754E-2</v>
      </c>
      <c r="K34" s="1">
        <f>+G34</f>
        <v>-2.749999999650754E-2</v>
      </c>
      <c r="O34" s="1">
        <f ca="1">+C$11+C$12*$F34</f>
        <v>-2.6625305941663523E-2</v>
      </c>
      <c r="Q34" s="59">
        <f>+C34-15018.5</f>
        <v>44098.400000000001</v>
      </c>
    </row>
    <row r="35" spans="1:17">
      <c r="A35" s="48" t="s">
        <v>80</v>
      </c>
      <c r="B35" s="49"/>
      <c r="C35" s="51">
        <v>59136.847999999998</v>
      </c>
      <c r="D35" s="51">
        <v>2E-3</v>
      </c>
      <c r="E35" s="49">
        <f>+(C35-C$7)/C$8</f>
        <v>4950.4822606292855</v>
      </c>
      <c r="F35" s="49">
        <f>ROUND(2*E35,0)/2</f>
        <v>4950.5</v>
      </c>
      <c r="G35" s="1">
        <f>+C35-(C$7+F35*C$8)</f>
        <v>-2.7219999996304978E-2</v>
      </c>
      <c r="K35" s="1">
        <f>+G35</f>
        <v>-2.7219999996304978E-2</v>
      </c>
      <c r="O35" s="1">
        <f ca="1">+C$11+C$12*$F35</f>
        <v>-2.6704629396317566E-2</v>
      </c>
      <c r="Q35" s="59">
        <f>+C35-15018.5</f>
        <v>44118.347999999998</v>
      </c>
    </row>
    <row r="36" spans="1:17">
      <c r="A36" s="56" t="s">
        <v>82</v>
      </c>
      <c r="B36" s="57" t="s">
        <v>71</v>
      </c>
      <c r="C36" s="58">
        <v>59245.024799999781</v>
      </c>
      <c r="D36" s="56" t="s">
        <v>83</v>
      </c>
      <c r="E36" s="49">
        <f>+(C36-C$7)/C$8</f>
        <v>5020.9814655508089</v>
      </c>
      <c r="F36" s="49">
        <f>ROUND(2*E36,0)/2</f>
        <v>5021</v>
      </c>
      <c r="G36" s="1">
        <f>+C36-(C$7+F36*C$8)</f>
        <v>-2.8440000212867744E-2</v>
      </c>
      <c r="K36" s="1">
        <f>+G36</f>
        <v>-2.8440000212867744E-2</v>
      </c>
      <c r="O36" s="1">
        <f ca="1">+C$11+C$12*$F36</f>
        <v>-2.7134806592710649E-2</v>
      </c>
      <c r="Q36" s="59">
        <f>+C36-15018.5</f>
        <v>44226.524799999781</v>
      </c>
    </row>
    <row r="37" spans="1:17">
      <c r="A37" s="56" t="s">
        <v>84</v>
      </c>
      <c r="B37" s="57" t="s">
        <v>71</v>
      </c>
      <c r="C37" s="58">
        <v>59556.514199999998</v>
      </c>
      <c r="D37" s="56">
        <v>1.6000000000000001E-3</v>
      </c>
      <c r="E37" s="49">
        <f>+(C37-C$7)/C$8</f>
        <v>5223.9802142801282</v>
      </c>
      <c r="F37" s="49">
        <f>ROUND(2*E37,0)/2</f>
        <v>5224</v>
      </c>
      <c r="G37" s="1">
        <f>+C37-(C$7+F37*C$8)</f>
        <v>-3.0359999997017439E-2</v>
      </c>
      <c r="K37" s="1">
        <f>+G37</f>
        <v>-3.0359999997017439E-2</v>
      </c>
      <c r="O37" s="1">
        <f ca="1">+C$11+C$12*$F37</f>
        <v>-2.8373472846154567E-2</v>
      </c>
      <c r="Q37" s="59">
        <f>+C37-15018.5</f>
        <v>44538.014199999998</v>
      </c>
    </row>
  </sheetData>
  <sheetProtection selectLockedCells="1" selectUnlockedCells="1"/>
  <sortState xmlns:xlrd2="http://schemas.microsoft.com/office/spreadsheetml/2017/richdata2" ref="A21:Q37">
    <sortCondition ref="C21:C37"/>
  </sortState>
  <mergeCells count="1">
    <mergeCell ref="T3:U3"/>
  </mergeCell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2023-01-21T07:13:05Z</dcterms:created>
  <dcterms:modified xsi:type="dcterms:W3CDTF">2023-01-21T07:13:51Z</dcterms:modified>
</cp:coreProperties>
</file>