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4D7BD02-4B57-449D-A6AC-CB09935F0BFE}" xr6:coauthVersionLast="47" xr6:coauthVersionMax="47" xr10:uidLastSave="{00000000-0000-0000-0000-000000000000}"/>
  <bookViews>
    <workbookView xWindow="14025" yWindow="34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I31" i="1" s="1"/>
  <c r="Q31" i="1"/>
  <c r="F11" i="1"/>
  <c r="G11" i="1"/>
  <c r="E14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C12" i="1"/>
  <c r="C11" i="1"/>
  <c r="O31" i="1" l="1"/>
  <c r="S31" i="1" s="1"/>
  <c r="O30" i="1"/>
  <c r="S30" i="1" s="1"/>
  <c r="O26" i="1"/>
  <c r="S26" i="1" s="1"/>
  <c r="O21" i="1"/>
  <c r="S21" i="1" s="1"/>
  <c r="O27" i="1"/>
  <c r="S27" i="1" s="1"/>
  <c r="O25" i="1"/>
  <c r="S25" i="1" s="1"/>
  <c r="O29" i="1"/>
  <c r="S29" i="1" s="1"/>
  <c r="O28" i="1"/>
  <c r="S28" i="1" s="1"/>
  <c r="O24" i="1"/>
  <c r="S24" i="1" s="1"/>
  <c r="O22" i="1"/>
  <c r="S22" i="1" s="1"/>
  <c r="C15" i="1"/>
  <c r="O23" i="1"/>
  <c r="S23" i="1" s="1"/>
  <c r="C16" i="1"/>
  <c r="D18" i="1" s="1"/>
  <c r="E15" i="1"/>
  <c r="E16" i="1" l="1"/>
  <c r="E17" i="1" s="1"/>
  <c r="S19" i="1"/>
  <c r="C18" i="1"/>
</calcChain>
</file>

<file path=xl/sharedStrings.xml><?xml version="1.0" encoding="utf-8"?>
<sst xmlns="http://schemas.openxmlformats.org/spreadsheetml/2006/main" count="76" uniqueCount="61">
  <si>
    <t>G0242-2191_Sex.xls</t>
  </si>
  <si>
    <t>System Type:</t>
  </si>
  <si>
    <t>EB / EW</t>
  </si>
  <si>
    <t>Sex</t>
  </si>
  <si>
    <t>G0242-2191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</si>
  <si>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</si>
  <si>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</si>
  <si>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</si>
  <si>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</si>
  <si>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</si>
  <si>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</si>
  <si>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</si>
  <si>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</si>
  <si>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</si>
  <si>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</si>
  <si>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</si>
  <si>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</si>
  <si>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</si>
  <si>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</si>
  <si>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</si>
  <si>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</si>
  <si>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</si>
  <si>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</si>
  <si>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</si>
  <si>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</si>
  <si>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</si>
  <si>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</si>
  <si>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</si>
  <si>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</si>
  <si>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</si>
  <si>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</si>
  <si>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</si>
  <si>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</si>
  <si>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</si>
  <si>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</si>
  <si>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</si>
  <si>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</si>
  <si>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IBVS</t>
  </si>
  <si>
    <t>Nelson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</si>
  <si>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</si>
  <si>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</si>
  <si>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</si>
  <si>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</si>
  <si>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</si>
  <si>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</si>
  <si>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</si>
  <si>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</si>
  <si>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</si>
  <si>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5992</t>
  </si>
  <si>
    <t>I</t>
  </si>
  <si>
    <t>IBVS 6029</t>
  </si>
  <si>
    <t>IBVS 6063</t>
  </si>
  <si>
    <t>II</t>
  </si>
  <si>
    <t>IBVS 6254</t>
  </si>
  <si>
    <t>RHN 2019</t>
  </si>
  <si>
    <t>VSB 069</t>
  </si>
  <si>
    <t>Ic</t>
  </si>
  <si>
    <t>B</t>
  </si>
  <si>
    <t>V</t>
  </si>
  <si>
    <t>VSB, 91</t>
  </si>
  <si>
    <t>CL Sex / GSC 0242-2191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</si>
</sst>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12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</cellStyleXfs>
  <cellXfs count="4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2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7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>
      <alignment vertical="top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167" fontId="0" fillId="0" borderId="0" xfId="0" applyNumberFormat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8" fontId="11" fillId="0" borderId="0" xfId="0" applyNumberFormat="1" applyFont="1" applyAlignment="1">
      <alignment vertical="center" wrapText="1"/>
    </xf>
    <xf numFmtId="0" fontId="9" fillId="0" borderId="0" xfId="5" applyFont="1" applyFill="1" applyAlignment="1">
      <alignment horizontal="left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0242-2191 - O-C Diagr.</a:t>
            </a:r>
          </a:p>
        </c:rich>
      </c:tx>
      <c:layout>
        <c:manualLayout>
          <c:xMode val="edge"/>
          <c:yMode val="edge"/>
          <c:x val="0.3343242347306883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22822889753688513"/>
          <c:w val="0.8172368485013817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Active!$H$21:$H$30</c:f>
              <c:numCache>
                <c:formatCode>General</c:formatCode>
                <c:ptCount val="10"/>
                <c:pt idx="0">
                  <c:v>0</c:v>
                </c:pt>
                <c:pt idx="1">
                  <c:v>-3.8800000038463622E-4</c:v>
                </c:pt>
                <c:pt idx="2">
                  <c:v>2.2660000031464733E-3</c:v>
                </c:pt>
                <c:pt idx="3">
                  <c:v>5.425999996077735E-3</c:v>
                </c:pt>
                <c:pt idx="4">
                  <c:v>9.9850000042351894E-3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0-4243-A28A-F28192F7E1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Active!$I$21:$I$30</c:f>
              <c:numCache>
                <c:formatCode>General</c:formatCode>
                <c:ptCount val="10"/>
                <c:pt idx="5">
                  <c:v>2.8105999997933395E-2</c:v>
                </c:pt>
                <c:pt idx="6">
                  <c:v>4.1268000000854954E-2</c:v>
                </c:pt>
                <c:pt idx="7">
                  <c:v>4.3653000000631437E-2</c:v>
                </c:pt>
                <c:pt idx="8">
                  <c:v>4.4253000000026077E-2</c:v>
                </c:pt>
                <c:pt idx="9">
                  <c:v>4.505300000164425E-2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0-4243-A28A-F28192F7E10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Active!$J$21:$J$30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0-4243-A28A-F28192F7E10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0-4243-A28A-F28192F7E10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0-4243-A28A-F28192F7E1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0-4243-A28A-F28192F7E1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0-4243-A28A-F28192F7E1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Active!$O$21:$O$30</c:f>
              <c:numCache>
                <c:formatCode>General</c:formatCode>
                <c:ptCount val="10"/>
                <c:pt idx="0">
                  <c:v>-7.3588961565019401E-4</c:v>
                </c:pt>
                <c:pt idx="1">
                  <c:v>2.8557483337904809E-4</c:v>
                </c:pt>
                <c:pt idx="2">
                  <c:v>4.0059085864610428E-3</c:v>
                </c:pt>
                <c:pt idx="3">
                  <c:v>5.1074878942376769E-3</c:v>
                </c:pt>
                <c:pt idx="4">
                  <c:v>8.8153037006403912E-3</c:v>
                </c:pt>
                <c:pt idx="5">
                  <c:v>2.8440940504415462E-2</c:v>
                </c:pt>
                <c:pt idx="6">
                  <c:v>4.2105531099517431E-2</c:v>
                </c:pt>
                <c:pt idx="7">
                  <c:v>4.3144520673897666E-2</c:v>
                </c:pt>
                <c:pt idx="8">
                  <c:v>4.3144520673897666E-2</c:v>
                </c:pt>
                <c:pt idx="9">
                  <c:v>4.3144520673897666E-2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0-4243-A28A-F28192F7E1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204</c:v>
                </c:pt>
                <c:pt idx="2">
                  <c:v>947</c:v>
                </c:pt>
                <c:pt idx="3">
                  <c:v>1167</c:v>
                </c:pt>
                <c:pt idx="4">
                  <c:v>1907.5</c:v>
                </c:pt>
                <c:pt idx="5">
                  <c:v>5827</c:v>
                </c:pt>
                <c:pt idx="6">
                  <c:v>8556</c:v>
                </c:pt>
                <c:pt idx="7">
                  <c:v>8763.5</c:v>
                </c:pt>
                <c:pt idx="8">
                  <c:v>8763.5</c:v>
                </c:pt>
                <c:pt idx="9">
                  <c:v>8763.5</c:v>
                </c:pt>
              </c:numCache>
            </c:numRef>
          </c:xVal>
          <c:yVal>
            <c:numRef>
              <c:f>Active!$R$21:$R$30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A0-4243-A28A-F28192F7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74224"/>
        <c:axId val="1"/>
      </c:scatterChart>
      <c:valAx>
        <c:axId val="45917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74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24978452730556"/>
          <c:y val="0.91591875339906836"/>
          <c:w val="0.741456634414011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CEC331-1726-7D81-7B1B-2A93B34BF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60</v>
      </c>
      <c r="E1" s="1" t="s">
        <v>0</v>
      </c>
    </row>
    <row r="2" spans="1:7" x14ac:dyDescent="0.2">
      <c r="A2" s="1" t="s">
        <v>1</v>
      </c>
      <c r="B2" s="1" t="s">
        <v>2</v>
      </c>
      <c r="C2" s="3"/>
      <c r="D2" s="4" t="s">
        <v>3</v>
      </c>
      <c r="E2" s="5" t="s">
        <v>4</v>
      </c>
      <c r="F2" s="1" t="s">
        <v>4</v>
      </c>
    </row>
    <row r="4" spans="1:7" x14ac:dyDescent="0.2">
      <c r="A4" s="6" t="s">
        <v>5</v>
      </c>
      <c r="C4" s="7" t="s">
        <v>6</v>
      </c>
      <c r="D4" s="8" t="s">
        <v>6</v>
      </c>
    </row>
    <row r="6" spans="1:7" x14ac:dyDescent="0.2">
      <c r="A6" s="6" t="s">
        <v>7</v>
      </c>
    </row>
    <row r="7" spans="1:7" x14ac:dyDescent="0.2">
      <c r="A7" s="1" t="s">
        <v>8</v>
      </c>
      <c r="C7" s="9">
        <v>55585.940199999997</v>
      </c>
      <c r="D7" s="10" t="s">
        <v>9</v>
      </c>
    </row>
    <row r="8" spans="1:7" x14ac:dyDescent="0.2">
      <c r="A8" s="1" t="s">
        <v>10</v>
      </c>
      <c r="C8" s="9">
        <v>0.38112200000000002</v>
      </c>
      <c r="D8" s="10" t="s">
        <v>9</v>
      </c>
    </row>
    <row r="9" spans="1:7" x14ac:dyDescent="0.2">
      <c r="A9" s="11" t="s">
        <v>11</v>
      </c>
      <c r="B9"/>
      <c r="C9" s="12">
        <v>-9.5</v>
      </c>
      <c r="D9" t="s">
        <v>12</v>
      </c>
      <c r="E9"/>
    </row>
    <row r="10" spans="1:7" x14ac:dyDescent="0.2">
      <c r="A10"/>
      <c r="B10"/>
      <c r="C10" s="13" t="s">
        <v>13</v>
      </c>
      <c r="D10" s="13" t="s">
        <v>14</v>
      </c>
      <c r="E10"/>
    </row>
    <row r="11" spans="1:7" x14ac:dyDescent="0.2">
      <c r="A11" t="s">
        <v>15</v>
      </c>
      <c r="B11"/>
      <c r="C11" s="14">
        <f ca="1">INTERCEPT(INDIRECT($G$11):G991,INDIRECT($F$11):F991)</f>
        <v>-7.3588961565019401E-4</v>
      </c>
      <c r="D11" s="4"/>
      <c r="E11"/>
      <c r="F11" s="15" t="str">
        <f>"F"&amp;E19</f>
        <v>F21</v>
      </c>
      <c r="G11" s="16" t="str">
        <f>"G"&amp;E19</f>
        <v>G21</v>
      </c>
    </row>
    <row r="12" spans="1:7" x14ac:dyDescent="0.2">
      <c r="A12" t="s">
        <v>16</v>
      </c>
      <c r="B12"/>
      <c r="C12" s="14">
        <f ca="1">SLOPE(INDIRECT($G$11):G991,INDIRECT($F$11):F991)</f>
        <v>5.0071786717119713E-6</v>
      </c>
      <c r="D12" s="4"/>
      <c r="E12"/>
    </row>
    <row r="13" spans="1:7" x14ac:dyDescent="0.2">
      <c r="A13" t="s">
        <v>17</v>
      </c>
      <c r="B13"/>
      <c r="C13" s="4" t="s">
        <v>18</v>
      </c>
      <c r="D13" s="17" t="s">
        <v>19</v>
      </c>
      <c r="E13" s="12">
        <v>1</v>
      </c>
    </row>
    <row r="14" spans="1:7" x14ac:dyDescent="0.2">
      <c r="A14"/>
      <c r="B14"/>
      <c r="C14"/>
      <c r="D14" s="17" t="s">
        <v>20</v>
      </c>
      <c r="E14" s="14">
        <f ca="1">NOW()+15018.5+$C$9/24</f>
        <v>59968.774485416667</v>
      </c>
    </row>
    <row r="15" spans="1:7" x14ac:dyDescent="0.2">
      <c r="A15" s="18" t="s">
        <v>21</v>
      </c>
      <c r="B15"/>
      <c r="C15" s="19">
        <f ca="1">(C7+C11)+(C8+C12)*INT(MAX(F21:F3532))</f>
        <v>59566.048800077246</v>
      </c>
      <c r="D15" s="17" t="s">
        <v>22</v>
      </c>
      <c r="E15" s="14">
        <f ca="1">ROUND(2*(E14-$C$7)/$C$8,0)/2+E13</f>
        <v>11501</v>
      </c>
    </row>
    <row r="16" spans="1:7" x14ac:dyDescent="0.2">
      <c r="A16" s="18" t="s">
        <v>23</v>
      </c>
      <c r="B16"/>
      <c r="C16" s="19">
        <f ca="1">+C8+C12</f>
        <v>0.38112700717867171</v>
      </c>
      <c r="D16" s="17" t="s">
        <v>24</v>
      </c>
      <c r="E16" s="16">
        <f ca="1">ROUND(2*(E14-$C$15)/$C$16,0)/2+E13</f>
        <v>1057.5</v>
      </c>
    </row>
    <row r="17" spans="1:19" x14ac:dyDescent="0.2">
      <c r="A17" s="17" t="s">
        <v>25</v>
      </c>
      <c r="B17"/>
      <c r="C17">
        <f>COUNT(C21:C2190)</f>
        <v>11</v>
      </c>
      <c r="D17" s="17" t="s">
        <v>26</v>
      </c>
      <c r="E17" s="20">
        <f ca="1">+$C$15+$C$16*E16-15018.5-$C$9/24</f>
        <v>44950.986443502028</v>
      </c>
    </row>
    <row r="18" spans="1:19" x14ac:dyDescent="0.2">
      <c r="A18" s="18" t="s">
        <v>27</v>
      </c>
      <c r="B18"/>
      <c r="C18" s="21">
        <f ca="1">+C15</f>
        <v>59566.048800077246</v>
      </c>
      <c r="D18" s="22">
        <f ca="1">+C16</f>
        <v>0.38112700717867171</v>
      </c>
      <c r="E18" s="23" t="s">
        <v>28</v>
      </c>
    </row>
    <row r="19" spans="1:19" x14ac:dyDescent="0.2">
      <c r="A19" s="24" t="s">
        <v>29</v>
      </c>
      <c r="E19" s="25">
        <v>21</v>
      </c>
      <c r="S19" s="1">
        <f ca="1">SQRT(SUM(S21:S49)/(COUNT(S21:S49)-1))</f>
        <v>1.2695060058345064E-3</v>
      </c>
    </row>
    <row r="20" spans="1:19" x14ac:dyDescent="0.2">
      <c r="A20" s="13" t="s">
        <v>30</v>
      </c>
      <c r="B20" s="13" t="s">
        <v>31</v>
      </c>
      <c r="C20" s="13" t="s">
        <v>32</v>
      </c>
      <c r="D20" s="13" t="s">
        <v>33</v>
      </c>
      <c r="E20" s="13" t="s">
        <v>34</v>
      </c>
      <c r="F20" s="13" t="s">
        <v>35</v>
      </c>
      <c r="G20" s="13" t="s">
        <v>36</v>
      </c>
      <c r="H20" s="26" t="s">
        <v>37</v>
      </c>
      <c r="I20" s="26" t="s">
        <v>38</v>
      </c>
      <c r="J20" s="26" t="s">
        <v>39</v>
      </c>
      <c r="K20" s="26" t="s">
        <v>40</v>
      </c>
      <c r="L20" s="26" t="s">
        <v>41</v>
      </c>
      <c r="M20" s="26" t="s">
        <v>42</v>
      </c>
      <c r="N20" s="26" t="s">
        <v>43</v>
      </c>
      <c r="O20" s="26" t="s">
        <v>44</v>
      </c>
      <c r="P20" s="26" t="s">
        <v>45</v>
      </c>
      <c r="Q20" s="13" t="s">
        <v>46</v>
      </c>
      <c r="R20" s="27" t="s">
        <v>47</v>
      </c>
    </row>
    <row r="21" spans="1:19" x14ac:dyDescent="0.2">
      <c r="A21" s="28" t="s">
        <v>48</v>
      </c>
      <c r="B21" s="29" t="s">
        <v>49</v>
      </c>
      <c r="C21" s="28">
        <v>55585.940199999997</v>
      </c>
      <c r="D21" s="28">
        <v>2.9999999999999997E-4</v>
      </c>
      <c r="E21" s="1">
        <f t="shared" ref="E21:E26" si="0">+(C21-C$7)/C$8</f>
        <v>0</v>
      </c>
      <c r="F21" s="1">
        <f t="shared" ref="F21:F27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26" ca="1" si="3">+C$11+C$12*$F21</f>
        <v>-7.3588961565019401E-4</v>
      </c>
      <c r="Q21" s="36">
        <f t="shared" ref="Q21:Q26" si="4">+C21-15018.5</f>
        <v>40567.440199999997</v>
      </c>
      <c r="S21" s="1">
        <f t="shared" ref="S21:S26" ca="1" si="5">+(O21-G21)^2</f>
        <v>5.4153352642179031E-7</v>
      </c>
    </row>
    <row r="22" spans="1:19" x14ac:dyDescent="0.2">
      <c r="A22" s="28" t="s">
        <v>48</v>
      </c>
      <c r="B22" s="29" t="s">
        <v>49</v>
      </c>
      <c r="C22" s="28">
        <v>55663.688699999999</v>
      </c>
      <c r="D22" s="28">
        <v>4.0000000000000002E-4</v>
      </c>
      <c r="E22" s="1">
        <f t="shared" si="0"/>
        <v>203.99898195328927</v>
      </c>
      <c r="F22" s="1">
        <f t="shared" si="1"/>
        <v>204</v>
      </c>
      <c r="G22" s="1">
        <f t="shared" si="2"/>
        <v>-3.8800000038463622E-4</v>
      </c>
      <c r="H22" s="1">
        <f>+G22</f>
        <v>-3.8800000038463622E-4</v>
      </c>
      <c r="O22" s="1">
        <f t="shared" ca="1" si="3"/>
        <v>2.8557483337904809E-4</v>
      </c>
      <c r="Q22" s="36">
        <f t="shared" si="4"/>
        <v>40645.188699999999</v>
      </c>
      <c r="S22" s="1">
        <f t="shared" ca="1" si="5"/>
        <v>4.5370305667977498E-7</v>
      </c>
    </row>
    <row r="23" spans="1:19" x14ac:dyDescent="0.2">
      <c r="A23" s="30" t="s">
        <v>50</v>
      </c>
      <c r="B23" s="31" t="s">
        <v>49</v>
      </c>
      <c r="C23" s="30">
        <v>55946.864999999998</v>
      </c>
      <c r="D23" s="30">
        <v>2.0000000000000001E-4</v>
      </c>
      <c r="E23" s="1">
        <f t="shared" si="0"/>
        <v>947.00594560272214</v>
      </c>
      <c r="F23" s="1">
        <f t="shared" si="1"/>
        <v>947</v>
      </c>
      <c r="G23" s="1">
        <f t="shared" si="2"/>
        <v>2.2660000031464733E-3</v>
      </c>
      <c r="H23" s="1">
        <f>+G23</f>
        <v>2.2660000031464733E-3</v>
      </c>
      <c r="O23" s="1">
        <f t="shared" ca="1" si="3"/>
        <v>4.0059085864610428E-3</v>
      </c>
      <c r="Q23" s="36">
        <f t="shared" si="4"/>
        <v>40928.364999999998</v>
      </c>
      <c r="S23" s="1">
        <f t="shared" ca="1" si="5"/>
        <v>3.0272818782917121E-6</v>
      </c>
    </row>
    <row r="24" spans="1:19" x14ac:dyDescent="0.2">
      <c r="A24" s="30" t="s">
        <v>50</v>
      </c>
      <c r="B24" s="31" t="s">
        <v>49</v>
      </c>
      <c r="C24" s="30">
        <v>56030.714999999997</v>
      </c>
      <c r="D24" s="30">
        <v>2E-3</v>
      </c>
      <c r="E24" s="1">
        <f t="shared" si="0"/>
        <v>1167.0142369110133</v>
      </c>
      <c r="F24" s="1">
        <f t="shared" si="1"/>
        <v>1167</v>
      </c>
      <c r="G24" s="1">
        <f t="shared" si="2"/>
        <v>5.425999996077735E-3</v>
      </c>
      <c r="H24" s="1">
        <f>+G24</f>
        <v>5.425999996077735E-3</v>
      </c>
      <c r="O24" s="1">
        <f t="shared" ca="1" si="3"/>
        <v>5.1074878942376769E-3</v>
      </c>
      <c r="Q24" s="36">
        <f t="shared" si="4"/>
        <v>41012.214999999997</v>
      </c>
      <c r="S24" s="1">
        <f t="shared" ca="1" si="5"/>
        <v>1.0144995901857151E-7</v>
      </c>
    </row>
    <row r="25" spans="1:19" x14ac:dyDescent="0.2">
      <c r="A25" s="32" t="s">
        <v>51</v>
      </c>
      <c r="B25" s="31" t="s">
        <v>52</v>
      </c>
      <c r="C25" s="30">
        <v>56312.940399999999</v>
      </c>
      <c r="D25" s="30">
        <v>2.0000000000000001E-4</v>
      </c>
      <c r="E25" s="1">
        <f t="shared" si="0"/>
        <v>1907.5261989599189</v>
      </c>
      <c r="F25" s="1">
        <f t="shared" si="1"/>
        <v>1907.5</v>
      </c>
      <c r="G25" s="1">
        <f t="shared" si="2"/>
        <v>9.9850000042351894E-3</v>
      </c>
      <c r="H25" s="1">
        <f>+G25</f>
        <v>9.9850000042351894E-3</v>
      </c>
      <c r="O25" s="1">
        <f t="shared" ca="1" si="3"/>
        <v>8.8153037006403912E-3</v>
      </c>
      <c r="Q25" s="36">
        <f t="shared" si="4"/>
        <v>41294.440399999999</v>
      </c>
      <c r="S25" s="1">
        <f t="shared" ca="1" si="5"/>
        <v>1.3681894426433343E-6</v>
      </c>
    </row>
    <row r="26" spans="1:19" x14ac:dyDescent="0.2">
      <c r="A26" s="6" t="s">
        <v>53</v>
      </c>
      <c r="C26" s="9">
        <v>57806.766199999998</v>
      </c>
      <c r="D26" s="9">
        <v>2.9999999999999997E-4</v>
      </c>
      <c r="E26" s="1">
        <f t="shared" si="0"/>
        <v>5827.0737454148566</v>
      </c>
      <c r="F26" s="1">
        <f t="shared" si="1"/>
        <v>5827</v>
      </c>
      <c r="G26" s="1">
        <f t="shared" si="2"/>
        <v>2.8105999997933395E-2</v>
      </c>
      <c r="I26" s="1">
        <f>+G26</f>
        <v>2.8105999997933395E-2</v>
      </c>
      <c r="O26" s="1">
        <f t="shared" ca="1" si="3"/>
        <v>2.8440940504415462E-2</v>
      </c>
      <c r="Q26" s="36">
        <f t="shared" si="4"/>
        <v>42788.266199999998</v>
      </c>
      <c r="S26" s="1">
        <f t="shared" ca="1" si="5"/>
        <v>1.1218514288246352E-7</v>
      </c>
    </row>
    <row r="27" spans="1:19" x14ac:dyDescent="0.2">
      <c r="A27" s="6" t="s">
        <v>54</v>
      </c>
      <c r="C27" s="9">
        <v>58846.861299999997</v>
      </c>
      <c r="D27" s="9">
        <v>2.0000000000000001E-4</v>
      </c>
      <c r="E27" s="1">
        <f>+(C27-C$7)/C$8</f>
        <v>8556.1082802882011</v>
      </c>
      <c r="F27" s="1">
        <f t="shared" si="1"/>
        <v>8556</v>
      </c>
      <c r="G27" s="1">
        <f>+C27-(C$7+F27*C$8)</f>
        <v>4.1268000000854954E-2</v>
      </c>
      <c r="I27" s="1">
        <f>+G27</f>
        <v>4.1268000000854954E-2</v>
      </c>
      <c r="O27" s="1">
        <f ca="1">+C$11+C$12*$F27</f>
        <v>4.2105531099517431E-2</v>
      </c>
      <c r="Q27" s="36">
        <f>+C27-15018.5</f>
        <v>43828.361299999997</v>
      </c>
      <c r="S27" s="1">
        <f ca="1">+(O27-G27)^2</f>
        <v>7.0145834122677491E-7</v>
      </c>
    </row>
    <row r="28" spans="1:19" x14ac:dyDescent="0.2">
      <c r="A28" s="33" t="s">
        <v>55</v>
      </c>
      <c r="B28" s="34" t="s">
        <v>52</v>
      </c>
      <c r="C28" s="35">
        <v>58925.946499999998</v>
      </c>
      <c r="D28" s="35" t="s">
        <v>56</v>
      </c>
      <c r="E28" s="1">
        <f>+(C28-C$7)/C$8</f>
        <v>8763.6145381269016</v>
      </c>
      <c r="F28" s="1">
        <f>ROUND(2*E28,0)/2</f>
        <v>8763.5</v>
      </c>
      <c r="G28" s="1">
        <f>+C28-(C$7+F28*C$8)</f>
        <v>4.3653000000631437E-2</v>
      </c>
      <c r="I28" s="1">
        <f>+G28</f>
        <v>4.3653000000631437E-2</v>
      </c>
      <c r="O28" s="1">
        <f ca="1">+C$11+C$12*$F28</f>
        <v>4.3144520673897666E-2</v>
      </c>
      <c r="Q28" s="36">
        <f>+C28-15018.5</f>
        <v>43907.446499999998</v>
      </c>
      <c r="S28" s="1">
        <f ca="1">+(O28-G28)^2</f>
        <v>2.5855122571562922E-7</v>
      </c>
    </row>
    <row r="29" spans="1:19" x14ac:dyDescent="0.2">
      <c r="A29" s="33" t="s">
        <v>55</v>
      </c>
      <c r="B29" s="34" t="s">
        <v>52</v>
      </c>
      <c r="C29" s="35">
        <v>58925.947099999998</v>
      </c>
      <c r="D29" s="35" t="s">
        <v>57</v>
      </c>
      <c r="E29" s="1">
        <f>+(C29-C$7)/C$8</f>
        <v>8763.6161124259434</v>
      </c>
      <c r="F29" s="1">
        <f>ROUND(2*E29,0)/2</f>
        <v>8763.5</v>
      </c>
      <c r="G29" s="1">
        <f>+C29-(C$7+F29*C$8)</f>
        <v>4.4253000000026077E-2</v>
      </c>
      <c r="I29" s="1">
        <f>+G29</f>
        <v>4.4253000000026077E-2</v>
      </c>
      <c r="O29" s="1">
        <f ca="1">+C$11+C$12*$F29</f>
        <v>4.3144520673897666E-2</v>
      </c>
      <c r="Q29" s="36">
        <f>+C29-15018.5</f>
        <v>43907.447099999998</v>
      </c>
      <c r="S29" s="1">
        <f ca="1">+(O29-G29)^2</f>
        <v>1.2287264164540972E-6</v>
      </c>
    </row>
    <row r="30" spans="1:19" x14ac:dyDescent="0.2">
      <c r="A30" s="33" t="s">
        <v>55</v>
      </c>
      <c r="B30" s="34" t="s">
        <v>52</v>
      </c>
      <c r="C30" s="35">
        <v>58925.947899999999</v>
      </c>
      <c r="D30" s="35" t="s">
        <v>58</v>
      </c>
      <c r="E30" s="1">
        <f>+(C30-C$7)/C$8</f>
        <v>8763.618211491339</v>
      </c>
      <c r="F30" s="1">
        <f>ROUND(2*E30,0)/2</f>
        <v>8763.5</v>
      </c>
      <c r="G30" s="1">
        <f>+C30-(C$7+F30*C$8)</f>
        <v>4.505300000164425E-2</v>
      </c>
      <c r="I30" s="1">
        <f>+G30</f>
        <v>4.505300000164425E-2</v>
      </c>
      <c r="O30" s="1">
        <f ca="1">+C$11+C$12*$F30</f>
        <v>4.3144520673897666E-2</v>
      </c>
      <c r="Q30" s="36">
        <f>+C30-15018.5</f>
        <v>43907.447899999999</v>
      </c>
      <c r="S30" s="1">
        <f ca="1">+(O30-G30)^2</f>
        <v>3.6422933444360549E-6</v>
      </c>
    </row>
    <row r="31" spans="1:19" x14ac:dyDescent="0.2">
      <c r="A31" s="37" t="s">
        <v>59</v>
      </c>
      <c r="B31" s="38" t="s">
        <v>49</v>
      </c>
      <c r="C31" s="39">
        <v>59566.237199999858</v>
      </c>
      <c r="D31" s="40" t="s">
        <v>56</v>
      </c>
      <c r="E31" s="1">
        <f>+(C31-C$7)/C$8</f>
        <v>10443.629598920714</v>
      </c>
      <c r="F31" s="1">
        <f>ROUND(2*E31,0)/2</f>
        <v>10443.5</v>
      </c>
      <c r="G31" s="1">
        <f>+C31-(C$7+F31*C$8)</f>
        <v>4.9392999862902798E-2</v>
      </c>
      <c r="I31" s="1">
        <f>+G31</f>
        <v>4.9392999862902798E-2</v>
      </c>
      <c r="O31" s="1">
        <f ca="1">+C$11+C$12*$F31</f>
        <v>5.155658084237378E-2</v>
      </c>
      <c r="Q31" s="36">
        <f>+C31-15018.5</f>
        <v>44547.737199999858</v>
      </c>
      <c r="S31" s="1">
        <f ca="1">+(O31-G31)^2</f>
        <v>4.6810826547286126E-6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2023-01-24T05:34:54Z</dcterms:created>
  <dcterms:modified xsi:type="dcterms:W3CDTF">2023-01-24T05:35:15Z</dcterms:modified>
</cp:coreProperties>
</file>