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1A3F025-138E-4A45-B415-89DF61E7B2A1}" xr6:coauthVersionLast="47" xr6:coauthVersionMax="47" xr10:uidLastSave="{00000000-0000-0000-0000-000000000000}"/>
  <bookViews>
    <workbookView xWindow="14040" yWindow="55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C12" i="1"/>
  <c r="O26" i="1" l="1"/>
  <c r="S26" i="1" s="1"/>
  <c r="O25" i="1"/>
  <c r="S25" i="1" s="1"/>
  <c r="O24" i="1"/>
  <c r="S24" i="1" s="1"/>
  <c r="C16" i="1"/>
  <c r="D18" i="1" s="1"/>
  <c r="O23" i="1"/>
  <c r="S23" i="1" s="1"/>
  <c r="C15" i="1"/>
  <c r="O22" i="1"/>
  <c r="S22" i="1" s="1"/>
  <c r="O21" i="1"/>
  <c r="S21" i="1" s="1"/>
  <c r="E15" i="1"/>
  <c r="S19" i="1" l="1"/>
  <c r="E16" i="1"/>
  <c r="E17" i="1" s="1"/>
  <c r="C18" i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<sst xmlns="http://schemas.openxmlformats.org/spreadsheetml/2006/main" count="65" uniqueCount="56">
  <si>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</si>
  <si>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</si>
  <si>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</si>
  <si>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</si>
  <si>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</si>
  <si>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</si>
  <si>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</si>
  <si>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</si>
  <si>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</si>
  <si>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</si>
  <si>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</si>
  <si>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</si>
  <si>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</si>
  <si>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</si>
  <si>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</si>
  <si>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</si>
  <si>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</si>
  <si>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</si>
  <si>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</si>
  <si>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</si>
  <si>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</si>
  <si>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</si>
  <si>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</si>
  <si>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</si>
  <si>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</si>
  <si>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</si>
  <si>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</si>
  <si>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</si>
  <si>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</si>
  <si>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</si>
  <si>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</si>
  <si>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</si>
  <si>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</si>
  <si>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</si>
  <si>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</si>
  <si>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</si>
  <si>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</si>
  <si>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</si>
  <si>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</si>
  <si>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</si>
  <si>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</si>
  <si>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</si>
  <si>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</si>
  <si>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G4907-0992</t>
  </si>
  <si>
    <t>G4907-0992_Sex.xls</t>
  </si>
  <si>
    <t>EC</t>
  </si>
  <si>
    <t>Sex</t>
  </si>
  <si>
    <t>VSX</t>
  </si>
  <si>
    <t>IBVS 5992</t>
  </si>
  <si>
    <t>I</t>
  </si>
  <si>
    <t>IBVS 6029</t>
  </si>
  <si>
    <t>VSB, 91</t>
  </si>
  <si>
    <t>V</t>
  </si>
  <si>
    <t>Ic</t>
  </si>
  <si>
    <t>B</t>
  </si>
  <si>
    <t>CT Sex / GSC 4907-0992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</si>
</sst>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4907-0992 -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9-4654-8688-646C15678C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-8.1795001897262409E-3</c:v>
                </c:pt>
                <c:pt idx="2">
                  <c:v>-3.967500182625372E-3</c:v>
                </c:pt>
                <c:pt idx="3">
                  <c:v>-2.0911000086925924E-2</c:v>
                </c:pt>
                <c:pt idx="4">
                  <c:v>-2.0911000086925924E-2</c:v>
                </c:pt>
                <c:pt idx="5">
                  <c:v>-1.7911000060848892E-2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C9-4654-8688-646C15678C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C9-4654-8688-646C15678C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C9-4654-8688-646C15678C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C9-4654-8688-646C15678C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9-4654-8688-646C15678C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9-4654-8688-646C15678C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9.4050097489944782E-3</c:v>
                </c:pt>
                <c:pt idx="1">
                  <c:v>-5.5711636035691917E-3</c:v>
                </c:pt>
                <c:pt idx="2">
                  <c:v>-6.8280394072257871E-3</c:v>
                </c:pt>
                <c:pt idx="3">
                  <c:v>-1.9826932532085791E-2</c:v>
                </c:pt>
                <c:pt idx="4">
                  <c:v>-1.9826932532085791E-2</c:v>
                </c:pt>
                <c:pt idx="5">
                  <c:v>-1.9826932532085791E-2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9-4654-8688-646C15678C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9-4654-8688-646C1567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50760"/>
        <c:axId val="1"/>
      </c:scatterChart>
      <c:valAx>
        <c:axId val="80375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75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0</xdr:rowOff>
    </xdr:from>
    <xdr:to>
      <xdr:col>16</xdr:col>
      <xdr:colOff>438150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D84285-F94C-D5B7-F96E-C50E2CF4C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55</v>
      </c>
      <c r="E1" t="s">
        <v>44</v>
      </c>
    </row>
    <row r="2" spans="1:7" x14ac:dyDescent="0.2">
      <c r="A2" t="s">
        <v>24</v>
      </c>
      <c r="B2" t="s">
        <v>45</v>
      </c>
      <c r="C2" s="30" t="s">
        <v>42</v>
      </c>
      <c r="D2" s="2" t="s">
        <v>46</v>
      </c>
      <c r="E2" s="31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41</v>
      </c>
      <c r="D4" s="2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51869.950000000186</v>
      </c>
      <c r="D7" s="29" t="s">
        <v>47</v>
      </c>
    </row>
    <row r="8" spans="1:7" x14ac:dyDescent="0.2">
      <c r="A8" t="s">
        <v>3</v>
      </c>
      <c r="C8" s="7">
        <v>0.48202299999999998</v>
      </c>
      <c r="D8" s="29" t="s">
        <v>47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9.4050097489944782E-3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-1.9159692128911495E-6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38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59968.778479166664</v>
      </c>
    </row>
    <row r="15" spans="1:7" x14ac:dyDescent="0.2">
      <c r="A15" s="11" t="s">
        <v>17</v>
      </c>
      <c r="B15" s="9"/>
      <c r="C15" s="12">
        <f ca="1">(C7+C11)+(C8+C12)*INT(MAX(F21:F3533))</f>
        <v>59224.15508406765</v>
      </c>
      <c r="D15" s="13" t="s">
        <v>39</v>
      </c>
      <c r="E15" s="14">
        <f ca="1">ROUND(2*(E14-$C$7)/$C$8,0)/2+E13</f>
        <v>16802.5</v>
      </c>
    </row>
    <row r="16" spans="1:7" x14ac:dyDescent="0.2">
      <c r="A16" s="15" t="s">
        <v>4</v>
      </c>
      <c r="B16" s="9"/>
      <c r="C16" s="16">
        <f ca="1">+C8+C12</f>
        <v>0.48202108403078708</v>
      </c>
      <c r="D16" s="13" t="s">
        <v>40</v>
      </c>
      <c r="E16" s="23">
        <f ca="1">ROUND(2*(E14-$C$15)/$C$16,0)/2+E13</f>
        <v>1546</v>
      </c>
    </row>
    <row r="17" spans="1:19" ht="13.5" thickBot="1" x14ac:dyDescent="0.25">
      <c r="A17" s="13" t="s">
        <v>30</v>
      </c>
      <c r="B17" s="9"/>
      <c r="C17" s="9">
        <f>COUNT(C21:C2191)</f>
        <v>6</v>
      </c>
      <c r="D17" s="13" t="s">
        <v>34</v>
      </c>
      <c r="E17" s="17">
        <f ca="1">+$C$15+$C$16*E16-15018.5-$C$9/24</f>
        <v>44951.255513312586</v>
      </c>
    </row>
    <row r="18" spans="1:19" ht="14.25" thickTop="1" thickBot="1" x14ac:dyDescent="0.25">
      <c r="A18" s="15" t="s">
        <v>5</v>
      </c>
      <c r="B18" s="9"/>
      <c r="C18" s="18">
        <f ca="1">+C15</f>
        <v>59224.15508406765</v>
      </c>
      <c r="D18" s="19">
        <f ca="1">+C16</f>
        <v>0.48202108403078708</v>
      </c>
      <c r="E18" s="20" t="s">
        <v>35</v>
      </c>
    </row>
    <row r="19" spans="1:19" ht="13.5" thickTop="1" x14ac:dyDescent="0.2">
      <c r="A19" s="24" t="s">
        <v>36</v>
      </c>
      <c r="E19" s="25">
        <v>22</v>
      </c>
      <c r="S19">
        <f ca="1">SQRT(SUM(S21:S50)/(COUNT(S21:S50)-1))</f>
        <v>4.6789211350929645E-3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37</v>
      </c>
    </row>
    <row r="21" spans="1:19" x14ac:dyDescent="0.2">
      <c r="A21" t="str">
        <f>D7</f>
        <v>VSX</v>
      </c>
      <c r="C21" s="7">
        <f>C$7</f>
        <v>51869.950000000186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9.4050097489944782E-3</v>
      </c>
      <c r="Q21" s="1">
        <f>+C21-15018.5</f>
        <v>36851.450000000186</v>
      </c>
      <c r="S21">
        <f ca="1">+(O21-G21)^2</f>
        <v>8.8454208378681176E-5</v>
      </c>
    </row>
    <row r="22" spans="1:19" x14ac:dyDescent="0.2">
      <c r="A22" s="32" t="s">
        <v>48</v>
      </c>
      <c r="B22" s="33" t="s">
        <v>49</v>
      </c>
      <c r="C22" s="32">
        <v>55637.674599999998</v>
      </c>
      <c r="D22" s="32">
        <v>4.0000000000000002E-4</v>
      </c>
      <c r="E22">
        <f>+(C22-C$7)/C$8</f>
        <v>7816.4830308923274</v>
      </c>
      <c r="F22">
        <f>ROUND(2*E22,0)/2</f>
        <v>7816.5</v>
      </c>
      <c r="G22">
        <f>+C22-(C$7+F22*C$8)</f>
        <v>-8.1795001897262409E-3</v>
      </c>
      <c r="I22">
        <f>+G22</f>
        <v>-8.1795001897262409E-3</v>
      </c>
      <c r="O22">
        <f ca="1">+C$11+C$12*$F22</f>
        <v>-5.5711636035691917E-3</v>
      </c>
      <c r="Q22" s="1">
        <f>+C22-15018.5</f>
        <v>40619.174599999998</v>
      </c>
      <c r="S22">
        <f ca="1">+(O22-G22)^2</f>
        <v>6.80341974668541E-6</v>
      </c>
    </row>
    <row r="23" spans="1:19" x14ac:dyDescent="0.2">
      <c r="A23" s="34" t="s">
        <v>50</v>
      </c>
      <c r="B23" s="35" t="s">
        <v>49</v>
      </c>
      <c r="C23" s="34">
        <v>55953.885900000001</v>
      </c>
      <c r="D23" s="34">
        <v>6.9999999999999999E-4</v>
      </c>
      <c r="E23">
        <f>+(C23-C$7)/C$8</f>
        <v>8472.491769064578</v>
      </c>
      <c r="F23">
        <f>ROUND(2*E23,0)/2</f>
        <v>8472.5</v>
      </c>
      <c r="G23">
        <f>+C23-(C$7+F23*C$8)</f>
        <v>-3.967500182625372E-3</v>
      </c>
      <c r="I23">
        <f>+G23</f>
        <v>-3.967500182625372E-3</v>
      </c>
      <c r="O23">
        <f ca="1">+C$11+C$12*$F23</f>
        <v>-6.8280394072257871E-3</v>
      </c>
      <c r="Q23" s="1">
        <f>+C23-15018.5</f>
        <v>40935.385900000001</v>
      </c>
      <c r="S23">
        <f ca="1">+(O23-G23)^2</f>
        <v>8.182684655477544E-6</v>
      </c>
    </row>
    <row r="24" spans="1:19" x14ac:dyDescent="0.2">
      <c r="A24" s="36" t="s">
        <v>51</v>
      </c>
      <c r="B24" s="37" t="s">
        <v>49</v>
      </c>
      <c r="C24" s="38">
        <v>59224.154000000097</v>
      </c>
      <c r="D24" s="7" t="s">
        <v>52</v>
      </c>
      <c r="E24">
        <f t="shared" ref="E24:E26" si="0">+(C24-C$7)/C$8</f>
        <v>15256.95661825247</v>
      </c>
      <c r="F24">
        <f t="shared" ref="F24:F26" si="1">ROUND(2*E24,0)/2</f>
        <v>15257</v>
      </c>
      <c r="G24">
        <f t="shared" ref="G24:G26" si="2">+C24-(C$7+F24*C$8)</f>
        <v>-2.0911000086925924E-2</v>
      </c>
      <c r="I24">
        <f t="shared" ref="I24:I26" si="3">+G24</f>
        <v>-2.0911000086925924E-2</v>
      </c>
      <c r="O24">
        <f t="shared" ref="O24:O26" ca="1" si="4">+C$11+C$12*$F24</f>
        <v>-1.9826932532085791E-2</v>
      </c>
      <c r="Q24" s="1">
        <f t="shared" ref="Q24:Q26" si="5">+C24-15018.5</f>
        <v>44205.654000000097</v>
      </c>
      <c r="S24">
        <f t="shared" ref="S24:S26" ca="1" si="6">+(O24-G24)^2</f>
        <v>1.1752024634570653E-6</v>
      </c>
    </row>
    <row r="25" spans="1:19" x14ac:dyDescent="0.2">
      <c r="A25" s="36" t="s">
        <v>51</v>
      </c>
      <c r="B25" s="37" t="s">
        <v>49</v>
      </c>
      <c r="C25" s="38">
        <v>59224.154000000097</v>
      </c>
      <c r="D25" s="7" t="s">
        <v>53</v>
      </c>
      <c r="E25">
        <f t="shared" si="0"/>
        <v>15256.95661825247</v>
      </c>
      <c r="F25">
        <f t="shared" si="1"/>
        <v>15257</v>
      </c>
      <c r="G25">
        <f t="shared" si="2"/>
        <v>-2.0911000086925924E-2</v>
      </c>
      <c r="I25">
        <f t="shared" si="3"/>
        <v>-2.0911000086925924E-2</v>
      </c>
      <c r="O25">
        <f t="shared" ca="1" si="4"/>
        <v>-1.9826932532085791E-2</v>
      </c>
      <c r="Q25" s="1">
        <f t="shared" si="5"/>
        <v>44205.654000000097</v>
      </c>
      <c r="S25">
        <f t="shared" ca="1" si="6"/>
        <v>1.1752024634570653E-6</v>
      </c>
    </row>
    <row r="26" spans="1:19" x14ac:dyDescent="0.2">
      <c r="A26" s="36" t="s">
        <v>51</v>
      </c>
      <c r="B26" s="37" t="s">
        <v>49</v>
      </c>
      <c r="C26" s="38">
        <v>59224.157000000123</v>
      </c>
      <c r="D26" s="7" t="s">
        <v>54</v>
      </c>
      <c r="E26">
        <f t="shared" si="0"/>
        <v>15256.962842021931</v>
      </c>
      <c r="F26">
        <f t="shared" si="1"/>
        <v>15257</v>
      </c>
      <c r="G26">
        <f t="shared" si="2"/>
        <v>-1.7911000060848892E-2</v>
      </c>
      <c r="I26">
        <f t="shared" si="3"/>
        <v>-1.7911000060848892E-2</v>
      </c>
      <c r="O26">
        <f t="shared" ca="1" si="4"/>
        <v>-1.9826932532085791E-2</v>
      </c>
      <c r="Q26" s="1">
        <f t="shared" si="5"/>
        <v>44205.657000000123</v>
      </c>
      <c r="S26">
        <f t="shared" ca="1" si="6"/>
        <v>3.6707972343399304E-6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2023-01-24T05:41:00Z</dcterms:modified>
</cp:coreProperties>
</file>