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A98148F-3441-43E4-A139-12B45DFB3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A (2)" sheetId="3" r:id="rId3"/>
  </sheets>
  <calcPr calcId="181029"/>
</workbook>
</file>

<file path=xl/calcChain.xml><?xml version="1.0" encoding="utf-8"?>
<calcChain xmlns="http://schemas.openxmlformats.org/spreadsheetml/2006/main">
  <c r="E89" i="1" l="1"/>
  <c r="F89" i="1" s="1"/>
  <c r="G89" i="1" s="1"/>
  <c r="K89" i="1" s="1"/>
  <c r="Q89" i="1"/>
  <c r="E90" i="1"/>
  <c r="F90" i="1" s="1"/>
  <c r="G90" i="1" s="1"/>
  <c r="K90" i="1" s="1"/>
  <c r="Q90" i="1"/>
  <c r="E91" i="1"/>
  <c r="F91" i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 s="1"/>
  <c r="G50" i="1" s="1"/>
  <c r="L50" i="1" s="1"/>
  <c r="Q50" i="1"/>
  <c r="E51" i="1"/>
  <c r="F51" i="1" s="1"/>
  <c r="G51" i="1" s="1"/>
  <c r="L51" i="1" s="1"/>
  <c r="Q51" i="1"/>
  <c r="E52" i="1"/>
  <c r="F52" i="1" s="1"/>
  <c r="G52" i="1" s="1"/>
  <c r="L52" i="1" s="1"/>
  <c r="Q52" i="1"/>
  <c r="E53" i="1"/>
  <c r="F53" i="1" s="1"/>
  <c r="G53" i="1" s="1"/>
  <c r="L53" i="1" s="1"/>
  <c r="Q53" i="1"/>
  <c r="E67" i="1"/>
  <c r="F67" i="1"/>
  <c r="G67" i="1" s="1"/>
  <c r="L67" i="1" s="1"/>
  <c r="Q67" i="1"/>
  <c r="E68" i="1"/>
  <c r="F68" i="1" s="1"/>
  <c r="G68" i="1" s="1"/>
  <c r="L68" i="1" s="1"/>
  <c r="Q68" i="1"/>
  <c r="E69" i="1"/>
  <c r="F69" i="1" s="1"/>
  <c r="G69" i="1" s="1"/>
  <c r="L69" i="1" s="1"/>
  <c r="Q69" i="1"/>
  <c r="E70" i="1"/>
  <c r="F70" i="1" s="1"/>
  <c r="G70" i="1" s="1"/>
  <c r="L70" i="1" s="1"/>
  <c r="Q70" i="1"/>
  <c r="E72" i="1"/>
  <c r="F72" i="1" s="1"/>
  <c r="G72" i="1" s="1"/>
  <c r="L72" i="1" s="1"/>
  <c r="Q72" i="1"/>
  <c r="E74" i="1"/>
  <c r="F74" i="1" s="1"/>
  <c r="G74" i="1" s="1"/>
  <c r="L74" i="1" s="1"/>
  <c r="Q74" i="1"/>
  <c r="E77" i="1"/>
  <c r="F77" i="1" s="1"/>
  <c r="G77" i="1" s="1"/>
  <c r="L77" i="1" s="1"/>
  <c r="Q77" i="1"/>
  <c r="E78" i="1"/>
  <c r="F78" i="1" s="1"/>
  <c r="G78" i="1" s="1"/>
  <c r="L78" i="1" s="1"/>
  <c r="Q78" i="1"/>
  <c r="E82" i="1"/>
  <c r="F82" i="1"/>
  <c r="G82" i="1" s="1"/>
  <c r="L82" i="1" s="1"/>
  <c r="Q82" i="1"/>
  <c r="E84" i="1"/>
  <c r="F84" i="1" s="1"/>
  <c r="G84" i="1" s="1"/>
  <c r="L84" i="1" s="1"/>
  <c r="Q84" i="1"/>
  <c r="E87" i="1"/>
  <c r="F87" i="1" s="1"/>
  <c r="G87" i="1" s="1"/>
  <c r="L87" i="1" s="1"/>
  <c r="Q87" i="1"/>
  <c r="E88" i="1"/>
  <c r="F88" i="1" s="1"/>
  <c r="G88" i="1" s="1"/>
  <c r="L88" i="1" s="1"/>
  <c r="Q88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71" i="1"/>
  <c r="F71" i="1" s="1"/>
  <c r="G71" i="1" s="1"/>
  <c r="K71" i="1" s="1"/>
  <c r="Q71" i="1"/>
  <c r="E73" i="1"/>
  <c r="F73" i="1" s="1"/>
  <c r="G73" i="1" s="1"/>
  <c r="K73" i="1" s="1"/>
  <c r="Q73" i="1"/>
  <c r="E75" i="1"/>
  <c r="F75" i="1" s="1"/>
  <c r="G75" i="1" s="1"/>
  <c r="K75" i="1" s="1"/>
  <c r="Q75" i="1"/>
  <c r="E76" i="1"/>
  <c r="F76" i="1" s="1"/>
  <c r="G76" i="1" s="1"/>
  <c r="K76" i="1" s="1"/>
  <c r="Q76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3" i="1"/>
  <c r="F83" i="1" s="1"/>
  <c r="G83" i="1" s="1"/>
  <c r="K83" i="1" s="1"/>
  <c r="Q83" i="1"/>
  <c r="E85" i="1"/>
  <c r="F85" i="1"/>
  <c r="G85" i="1" s="1"/>
  <c r="K85" i="1" s="1"/>
  <c r="Q85" i="1"/>
  <c r="E86" i="1"/>
  <c r="F86" i="1" s="1"/>
  <c r="G86" i="1" s="1"/>
  <c r="K86" i="1" s="1"/>
  <c r="Q86" i="1"/>
  <c r="C9" i="1"/>
  <c r="D9" i="1"/>
  <c r="F16" i="1"/>
  <c r="F17" i="1" s="1"/>
  <c r="C17" i="1"/>
  <c r="E21" i="1"/>
  <c r="F21" i="1" s="1"/>
  <c r="G21" i="1" s="1"/>
  <c r="K21" i="1" s="1"/>
  <c r="Q21" i="1"/>
  <c r="E22" i="1"/>
  <c r="E11" i="2" s="1"/>
  <c r="Q22" i="1"/>
  <c r="E23" i="1"/>
  <c r="E12" i="2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E19" i="2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E23" i="2" s="1"/>
  <c r="F34" i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40" i="1"/>
  <c r="F40" i="1"/>
  <c r="G40" i="1" s="1"/>
  <c r="K40" i="1" s="1"/>
  <c r="Q40" i="1"/>
  <c r="E41" i="1"/>
  <c r="F41" i="1" s="1"/>
  <c r="G41" i="1" s="1"/>
  <c r="K41" i="1" s="1"/>
  <c r="Q41" i="1"/>
  <c r="E39" i="1"/>
  <c r="F39" i="1" s="1"/>
  <c r="G39" i="1" s="1"/>
  <c r="K39" i="1" s="1"/>
  <c r="Q39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/>
  <c r="G47" i="1" s="1"/>
  <c r="K47" i="1" s="1"/>
  <c r="Q47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F11" i="3"/>
  <c r="G11" i="3"/>
  <c r="E15" i="3"/>
  <c r="C17" i="3"/>
  <c r="E21" i="3"/>
  <c r="F21" i="3"/>
  <c r="G21" i="3"/>
  <c r="I21" i="3"/>
  <c r="Q21" i="3"/>
  <c r="E22" i="3"/>
  <c r="F22" i="3"/>
  <c r="G22" i="3"/>
  <c r="I22" i="3"/>
  <c r="Q22" i="3"/>
  <c r="E23" i="3"/>
  <c r="F23" i="3"/>
  <c r="G23" i="3"/>
  <c r="I23" i="3"/>
  <c r="Q23" i="3"/>
  <c r="E24" i="3"/>
  <c r="F24" i="3"/>
  <c r="G24" i="3"/>
  <c r="I24" i="3"/>
  <c r="Q24" i="3"/>
  <c r="E25" i="3"/>
  <c r="F25" i="3"/>
  <c r="G25" i="3"/>
  <c r="I25" i="3"/>
  <c r="Q25" i="3"/>
  <c r="E26" i="3"/>
  <c r="F26" i="3"/>
  <c r="G26" i="3"/>
  <c r="I26" i="3"/>
  <c r="Q26" i="3"/>
  <c r="E27" i="3"/>
  <c r="F27" i="3"/>
  <c r="G27" i="3"/>
  <c r="I27" i="3"/>
  <c r="Q27" i="3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C13" i="2"/>
  <c r="E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E15" i="2"/>
  <c r="H15" i="2"/>
  <c r="A16" i="2"/>
  <c r="C16" i="2"/>
  <c r="D16" i="2"/>
  <c r="G16" i="2"/>
  <c r="H16" i="2"/>
  <c r="B16" i="2"/>
  <c r="A17" i="2"/>
  <c r="D17" i="2"/>
  <c r="G17" i="2"/>
  <c r="C17" i="2"/>
  <c r="E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C20" i="2"/>
  <c r="D20" i="2"/>
  <c r="E20" i="2"/>
  <c r="G20" i="2"/>
  <c r="H20" i="2"/>
  <c r="B20" i="2"/>
  <c r="A21" i="2"/>
  <c r="B21" i="2"/>
  <c r="C21" i="2"/>
  <c r="D21" i="2"/>
  <c r="G21" i="2"/>
  <c r="H21" i="2"/>
  <c r="A22" i="2"/>
  <c r="C22" i="2"/>
  <c r="E22" i="2"/>
  <c r="D22" i="2"/>
  <c r="G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E27" i="2"/>
  <c r="H27" i="2"/>
  <c r="C11" i="3"/>
  <c r="C12" i="3"/>
  <c r="E26" i="2" l="1"/>
  <c r="F30" i="1"/>
  <c r="G30" i="1" s="1"/>
  <c r="K30" i="1" s="1"/>
  <c r="E14" i="2"/>
  <c r="E21" i="2"/>
  <c r="F23" i="1"/>
  <c r="G23" i="1" s="1"/>
  <c r="K23" i="1" s="1"/>
  <c r="E25" i="2"/>
  <c r="F22" i="1"/>
  <c r="G22" i="1" s="1"/>
  <c r="E24" i="2"/>
  <c r="E18" i="2"/>
  <c r="E16" i="2"/>
  <c r="C16" i="3"/>
  <c r="D18" i="3" s="1"/>
  <c r="O21" i="3"/>
  <c r="R21" i="3" s="1"/>
  <c r="O24" i="3"/>
  <c r="R24" i="3" s="1"/>
  <c r="O22" i="3"/>
  <c r="R22" i="3" s="1"/>
  <c r="O27" i="3"/>
  <c r="R27" i="3" s="1"/>
  <c r="O26" i="3"/>
  <c r="R26" i="3" s="1"/>
  <c r="O23" i="3"/>
  <c r="R23" i="3" s="1"/>
  <c r="C15" i="3"/>
  <c r="O25" i="3"/>
  <c r="R25" i="3" s="1"/>
  <c r="C12" i="1"/>
  <c r="C11" i="1"/>
  <c r="O45" i="1" l="1"/>
  <c r="S45" i="1" s="1"/>
  <c r="O90" i="1"/>
  <c r="S90" i="1" s="1"/>
  <c r="O77" i="1"/>
  <c r="S77" i="1" s="1"/>
  <c r="O88" i="1"/>
  <c r="S88" i="1" s="1"/>
  <c r="O78" i="1"/>
  <c r="S78" i="1" s="1"/>
  <c r="O71" i="1"/>
  <c r="S71" i="1" s="1"/>
  <c r="O81" i="1"/>
  <c r="S81" i="1" s="1"/>
  <c r="O23" i="1"/>
  <c r="S23" i="1" s="1"/>
  <c r="S18" i="1" s="1"/>
  <c r="C15" i="1"/>
  <c r="C18" i="1" s="1"/>
  <c r="O28" i="1"/>
  <c r="S28" i="1" s="1"/>
  <c r="O40" i="1"/>
  <c r="S40" i="1" s="1"/>
  <c r="O27" i="1"/>
  <c r="S27" i="1" s="1"/>
  <c r="O25" i="1"/>
  <c r="S25" i="1" s="1"/>
  <c r="O21" i="1"/>
  <c r="S21" i="1" s="1"/>
  <c r="O83" i="1"/>
  <c r="S83" i="1" s="1"/>
  <c r="O26" i="1"/>
  <c r="S26" i="1" s="1"/>
  <c r="O38" i="1"/>
  <c r="S38" i="1" s="1"/>
  <c r="O41" i="1"/>
  <c r="S41" i="1" s="1"/>
  <c r="O82" i="1"/>
  <c r="S82" i="1" s="1"/>
  <c r="O53" i="1"/>
  <c r="S53" i="1" s="1"/>
  <c r="O22" i="1"/>
  <c r="S22" i="1" s="1"/>
  <c r="O96" i="1"/>
  <c r="S96" i="1" s="1"/>
  <c r="O51" i="1"/>
  <c r="S51" i="1" s="1"/>
  <c r="O48" i="1"/>
  <c r="S48" i="1" s="1"/>
  <c r="O61" i="1"/>
  <c r="S61" i="1" s="1"/>
  <c r="O85" i="1"/>
  <c r="S85" i="1" s="1"/>
  <c r="O64" i="1"/>
  <c r="S64" i="1" s="1"/>
  <c r="O56" i="1"/>
  <c r="S56" i="1" s="1"/>
  <c r="O31" i="1"/>
  <c r="S31" i="1" s="1"/>
  <c r="O94" i="1"/>
  <c r="S94" i="1" s="1"/>
  <c r="O74" i="1"/>
  <c r="S74" i="1" s="1"/>
  <c r="O69" i="1"/>
  <c r="S69" i="1" s="1"/>
  <c r="O75" i="1"/>
  <c r="S75" i="1" s="1"/>
  <c r="O58" i="1"/>
  <c r="S58" i="1" s="1"/>
  <c r="O80" i="1"/>
  <c r="S80" i="1" s="1"/>
  <c r="O46" i="1"/>
  <c r="S46" i="1" s="1"/>
  <c r="O29" i="1"/>
  <c r="S29" i="1" s="1"/>
  <c r="O47" i="1"/>
  <c r="S47" i="1" s="1"/>
  <c r="O72" i="1"/>
  <c r="S72" i="1" s="1"/>
  <c r="O68" i="1"/>
  <c r="S68" i="1" s="1"/>
  <c r="O73" i="1"/>
  <c r="S73" i="1" s="1"/>
  <c r="O79" i="1"/>
  <c r="S79" i="1" s="1"/>
  <c r="O36" i="1"/>
  <c r="S36" i="1" s="1"/>
  <c r="O70" i="1"/>
  <c r="S70" i="1" s="1"/>
  <c r="O67" i="1"/>
  <c r="S67" i="1" s="1"/>
  <c r="O34" i="1"/>
  <c r="S34" i="1" s="1"/>
  <c r="O91" i="1"/>
  <c r="S91" i="1" s="1"/>
  <c r="O49" i="1"/>
  <c r="S49" i="1" s="1"/>
  <c r="O76" i="1"/>
  <c r="S76" i="1" s="1"/>
  <c r="O57" i="1"/>
  <c r="S57" i="1" s="1"/>
  <c r="O32" i="1"/>
  <c r="S32" i="1" s="1"/>
  <c r="O43" i="1"/>
  <c r="S43" i="1" s="1"/>
  <c r="O44" i="1"/>
  <c r="S44" i="1" s="1"/>
  <c r="O89" i="1"/>
  <c r="S89" i="1" s="1"/>
  <c r="O59" i="1"/>
  <c r="S59" i="1" s="1"/>
  <c r="O24" i="1"/>
  <c r="S24" i="1" s="1"/>
  <c r="O95" i="1"/>
  <c r="S95" i="1" s="1"/>
  <c r="O50" i="1"/>
  <c r="S50" i="1" s="1"/>
  <c r="O87" i="1"/>
  <c r="S87" i="1" s="1"/>
  <c r="O60" i="1"/>
  <c r="S60" i="1" s="1"/>
  <c r="O66" i="1"/>
  <c r="S66" i="1" s="1"/>
  <c r="O63" i="1"/>
  <c r="S63" i="1" s="1"/>
  <c r="O37" i="1"/>
  <c r="S37" i="1" s="1"/>
  <c r="O55" i="1"/>
  <c r="S55" i="1" s="1"/>
  <c r="O33" i="1"/>
  <c r="S33" i="1" s="1"/>
  <c r="O39" i="1"/>
  <c r="S39" i="1" s="1"/>
  <c r="O92" i="1"/>
  <c r="S92" i="1" s="1"/>
  <c r="O54" i="1"/>
  <c r="S54" i="1" s="1"/>
  <c r="O93" i="1"/>
  <c r="S93" i="1" s="1"/>
  <c r="O84" i="1"/>
  <c r="S84" i="1" s="1"/>
  <c r="O86" i="1"/>
  <c r="S86" i="1" s="1"/>
  <c r="O62" i="1"/>
  <c r="S62" i="1" s="1"/>
  <c r="O30" i="1"/>
  <c r="S30" i="1" s="1"/>
  <c r="O35" i="1"/>
  <c r="S35" i="1" s="1"/>
  <c r="O52" i="1"/>
  <c r="S52" i="1" s="1"/>
  <c r="O65" i="1"/>
  <c r="S65" i="1" s="1"/>
  <c r="O42" i="1"/>
  <c r="S42" i="1" s="1"/>
  <c r="C16" i="1"/>
  <c r="D18" i="1" s="1"/>
  <c r="J22" i="1"/>
  <c r="E16" i="3"/>
  <c r="E17" i="3" s="1"/>
  <c r="C18" i="3"/>
  <c r="R18" i="3"/>
  <c r="F18" i="1" l="1"/>
  <c r="F19" i="1" s="1"/>
</calcChain>
</file>

<file path=xl/sharedStrings.xml><?xml version="1.0" encoding="utf-8"?>
<sst xmlns="http://schemas.openxmlformats.org/spreadsheetml/2006/main" count="444" uniqueCount="168">
  <si>
    <t>VY Sex / GSC 04917-00022</t>
  </si>
  <si>
    <t>System Type:</t>
  </si>
  <si>
    <t>IBVS 5075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</si>
  <si>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</si>
  <si>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</si>
  <si>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</si>
  <si>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</si>
  <si>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</si>
  <si>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</si>
  <si>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</si>
  <si>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</si>
  <si>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</si>
  <si>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</si>
  <si>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</si>
  <si>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</si>
  <si>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</si>
  <si>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</si>
  <si>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</si>
  <si>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</si>
  <si>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</si>
  <si>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</si>
  <si>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</si>
  <si>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</si>
  <si>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</si>
  <si>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</si>
  <si>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</si>
  <si>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</si>
  <si>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</si>
  <si>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</si>
  <si>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</si>
  <si>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</si>
  <si>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</si>
  <si>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</si>
  <si>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</si>
  <si>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</si>
  <si>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</si>
  <si>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</si>
  <si>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</si>
  <si>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</si>
  <si>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</si>
  <si>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</si>
  <si>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</si>
  <si>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5075</t>
  </si>
  <si>
    <t>IBVS 5484</t>
  </si>
  <si>
    <t>IBVS 5603</t>
  </si>
  <si>
    <t>I</t>
  </si>
  <si>
    <t>IBVS 5843</t>
  </si>
  <si>
    <t>II</t>
  </si>
  <si>
    <t>IBVS 6165</t>
  </si>
  <si>
    <t>VSB 46 </t>
  </si>
  <si>
    <t>VSB 48 </t>
  </si>
  <si>
    <t>VSB 50 </t>
  </si>
  <si>
    <t>VSB 53 </t>
  </si>
  <si>
    <t>VSB 55 </t>
  </si>
  <si>
    <t>IBVS 6157</t>
  </si>
  <si>
    <t>VSB 59 </t>
  </si>
  <si>
    <t>OEJV 0172</t>
  </si>
  <si>
    <t>VSB-059</t>
  </si>
  <si>
    <t>Ic</t>
  </si>
  <si>
    <t>VSB-063</t>
  </si>
  <si>
    <t>V</t>
  </si>
  <si>
    <t>OEJV 0191</t>
  </si>
  <si>
    <t>OEJV 0198</t>
  </si>
  <si>
    <t>VSB 067</t>
  </si>
  <si>
    <t>cG</t>
  </si>
  <si>
    <t>VSB 069</t>
  </si>
  <si>
    <t>B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</si>
  <si>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</si>
  <si>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</si>
  <si>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</si>
  <si>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</si>
  <si>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</si>
  <si>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</si>
  <si>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2452309.4066 </t>
  </si>
  <si>
    <t> 03.02.2002 21:45 </t>
  </si>
  <si>
    <t> -0.0161 </t>
  </si>
  <si>
    <t>E </t>
  </si>
  <si>
    <t>o</t>
  </si>
  <si>
    <t> K. &amp; M.Rätz </t>
  </si>
  <si>
    <t>BAVM 158 </t>
  </si>
  <si>
    <t>2453118.6939 </t>
  </si>
  <si>
    <t> 23.04.2004 04:39 </t>
  </si>
  <si>
    <t> 0.0012 </t>
  </si>
  <si>
    <t>?</t>
  </si>
  <si>
    <t> S.Dvorak </t>
  </si>
  <si>
    <t>IBVS 5603 </t>
  </si>
  <si>
    <t>2453410.7003 </t>
  </si>
  <si>
    <t> 09.02.2005 04:48 </t>
  </si>
  <si>
    <t> 0.0053 </t>
  </si>
  <si>
    <t>C </t>
  </si>
  <si>
    <t>-I</t>
  </si>
  <si>
    <t> W.Ogloza et al. </t>
  </si>
  <si>
    <t>IBVS 5843 </t>
  </si>
  <si>
    <t>2453411.8060 </t>
  </si>
  <si>
    <t> 10.02.2005 07:20 </t>
  </si>
  <si>
    <t>2056</t>
  </si>
  <si>
    <t> 0.0024 </t>
  </si>
  <si>
    <t>2453413.7982 </t>
  </si>
  <si>
    <t> 12.02.2005 07:09 </t>
  </si>
  <si>
    <t>2060.5</t>
  </si>
  <si>
    <t> -0.0009 </t>
  </si>
  <si>
    <t>2453459.6932 </t>
  </si>
  <si>
    <t> 30.03.2005 04:38 </t>
  </si>
  <si>
    <t>2164</t>
  </si>
  <si>
    <t> -0.0014 </t>
  </si>
  <si>
    <t>2456727.3692 </t>
  </si>
  <si>
    <t> 10.03.2014 20:51 </t>
  </si>
  <si>
    <t>9533</t>
  </si>
  <si>
    <t> -0.0024 </t>
  </si>
  <si>
    <t> M.&amp; K.Rätz </t>
  </si>
  <si>
    <t>BAVM 241 (=IBVS 6157) </t>
  </si>
  <si>
    <t>2457013.606 </t>
  </si>
  <si>
    <t> 22.12.2014 02:32 </t>
  </si>
  <si>
    <t>10178.5</t>
  </si>
  <si>
    <t> -0.003 </t>
  </si>
  <si>
    <t> A.Paschke </t>
  </si>
  <si>
    <t>OEJV 0172 </t>
  </si>
  <si>
    <t>2454147.2401 </t>
  </si>
  <si>
    <t> 15.02.2007 17:45 </t>
  </si>
  <si>
    <t>3714.5</t>
  </si>
  <si>
    <t> K.Nakajima </t>
  </si>
  <si>
    <t>2454174.0699 </t>
  </si>
  <si>
    <t> 14.03.2007 13:40 </t>
  </si>
  <si>
    <t>3775</t>
  </si>
  <si>
    <t> 0.0005 </t>
  </si>
  <si>
    <t> K.Nagai </t>
  </si>
  <si>
    <t>2454832.3514 </t>
  </si>
  <si>
    <t> 31.12.2008 20:26 </t>
  </si>
  <si>
    <t>5259.5</t>
  </si>
  <si>
    <t> 0.0019 </t>
  </si>
  <si>
    <t>2454907.0676 </t>
  </si>
  <si>
    <t> 16.03.2009 13:37 </t>
  </si>
  <si>
    <t>5428</t>
  </si>
  <si>
    <t> -0.0008 </t>
  </si>
  <si>
    <t>2455626.1006 </t>
  </si>
  <si>
    <t> 05.03.2011 14:24 </t>
  </si>
  <si>
    <t>7049.5</t>
  </si>
  <si>
    <t> 0.0013 </t>
  </si>
  <si>
    <t>2455656.0319 </t>
  </si>
  <si>
    <t> 04.04.2011 12:45 </t>
  </si>
  <si>
    <t>7117</t>
  </si>
  <si>
    <t> 0.0007 </t>
  </si>
  <si>
    <t>Rc</t>
  </si>
  <si>
    <t>2456018.9822 </t>
  </si>
  <si>
    <t> 01.04.2012 11:34 </t>
  </si>
  <si>
    <t>7935.5</t>
  </si>
  <si>
    <t> -0.0010 </t>
  </si>
  <si>
    <t>2456026.9638 </t>
  </si>
  <si>
    <t> 09.04.2012 11:07 </t>
  </si>
  <si>
    <t>7953.5</t>
  </si>
  <si>
    <t> -0.0012 </t>
  </si>
  <si>
    <t>2456740.0055 </t>
  </si>
  <si>
    <t> 23.03.2014 12:07 </t>
  </si>
  <si>
    <t>9561.5</t>
  </si>
  <si>
    <t> -0.0040 </t>
  </si>
  <si>
    <t>EW</t>
  </si>
  <si>
    <t>Cycle count may not be right.</t>
  </si>
  <si>
    <t>Local time</t>
  </si>
  <si>
    <t>GCVS 4</t>
  </si>
  <si>
    <t>IBVS</t>
  </si>
  <si>
    <t>S3</t>
  </si>
  <si>
    <t>S4</t>
  </si>
  <si>
    <t>VSB, 91</t>
  </si>
  <si>
    <t>Ha</t>
  </si>
  <si>
    <t>TESS/BAJ/RAA</t>
  </si>
  <si>
    <t>TESS</t>
  </si>
  <si>
    <t>VSS SEB Gp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</si>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</sst>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000"/>
    <numFmt numFmtId="168" formatCode="mm/dd/yy"/>
    <numFmt numFmtId="169" formatCode="0.000000000"/>
    <numFmt numFmtId="170" formatCode="dd/mm/yyyy"/>
    <numFmt numFmtId="171" formatCode="0.0000000000"/>
    <numFmt numFmtId="172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Alignment="1">
      <alignment horizontal="left" vertical="center"/>
    </xf>
    <xf numFmtId="0" fontId="5" fillId="0" borderId="0" xfId="0" applyFont="1" applyAlignment="1"/>
    <xf numFmtId="0" fontId="6" fillId="0" borderId="0" xfId="0" applyFont="1">
      <alignment vertical="top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2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>
      <alignment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7" fontId="5" fillId="0" borderId="0" xfId="0" applyNumberFormat="1" applyFont="1" applyAlignment="1">
      <alignment horizontal="left" vertical="top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7" fillId="0" borderId="0" xfId="7" applyFont="1" applyAlignment="1">
      <alignment horizontal="left"/>
    </xf>
    <xf numFmtId="0" fontId="7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5" fillId="2" borderId="10" xfId="5" applyNumberForma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/>
    </xf>
    <xf numFmtId="168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/>
    <xf numFmtId="171" fontId="19" fillId="0" borderId="0" xfId="0" applyNumberFormat="1" applyFont="1" applyAlignment="1" applyProtection="1">
      <alignment vertical="center" wrapText="1"/>
      <protection locked="0"/>
    </xf>
    <xf numFmtId="0" fontId="0" fillId="0" borderId="11" xfId="0" applyBorder="1" applyAlignment="1"/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72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70" fontId="0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172" fontId="20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Sex - O-C Diagr.</a:t>
            </a:r>
          </a:p>
        </c:rich>
      </c:tx>
      <c:layout>
        <c:manualLayout>
          <c:xMode val="edge"/>
          <c:yMode val="edge"/>
          <c:x val="0.3731828917185028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8045240595056759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A5-4413-80BB-A10D7B857A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Active!$I$21:$I$50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A5-4413-80BB-A10D7B857AE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Active!$J$21:$J$50</c:f>
              <c:numCache>
                <c:formatCode>General</c:formatCode>
                <c:ptCount val="30"/>
                <c:pt idx="1">
                  <c:v>-2.4215999997977633E-2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A5-4413-80BB-A10D7B857AE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Active!$K$21:$K$50</c:f>
              <c:numCache>
                <c:formatCode>General</c:formatCode>
                <c:ptCount val="30"/>
                <c:pt idx="0">
                  <c:v>0</c:v>
                </c:pt>
                <c:pt idx="2">
                  <c:v>-3.1600000511389226E-4</c:v>
                </c:pt>
                <c:pt idx="3">
                  <c:v>6.1119999954826199E-3</c:v>
                </c:pt>
                <c:pt idx="4">
                  <c:v>3.2319999954779632E-3</c:v>
                </c:pt>
                <c:pt idx="5">
                  <c:v>-1.200000406242907E-5</c:v>
                </c:pt>
                <c:pt idx="6">
                  <c:v>-2.2400000307243317E-4</c:v>
                </c:pt>
                <c:pt idx="7">
                  <c:v>1.1200000153621659E-4</c:v>
                </c:pt>
                <c:pt idx="8">
                  <c:v>-6.520000024465844E-4</c:v>
                </c:pt>
                <c:pt idx="9">
                  <c:v>5.3600000028382055E-3</c:v>
                </c:pt>
                <c:pt idx="10">
                  <c:v>7.5240000005578622E-3</c:v>
                </c:pt>
                <c:pt idx="11">
                  <c:v>1.4219999997294508E-2</c:v>
                </c:pt>
                <c:pt idx="12">
                  <c:v>1.2128000002121553E-2</c:v>
                </c:pt>
                <c:pt idx="13">
                  <c:v>2.0139999993261881E-2</c:v>
                </c:pt>
                <c:pt idx="14">
                  <c:v>1.9780000002356246E-2</c:v>
                </c:pt>
                <c:pt idx="15">
                  <c:v>2.0987999996577855E-2</c:v>
                </c:pt>
                <c:pt idx="16">
                  <c:v>2.0811999995203223E-2</c:v>
                </c:pt>
                <c:pt idx="17">
                  <c:v>2.536800000234507E-2</c:v>
                </c:pt>
                <c:pt idx="18">
                  <c:v>2.385599997069221E-2</c:v>
                </c:pt>
                <c:pt idx="19">
                  <c:v>2.385599999979604E-2</c:v>
                </c:pt>
                <c:pt idx="20">
                  <c:v>2.6811999996425584E-2</c:v>
                </c:pt>
                <c:pt idx="21">
                  <c:v>2.8851999995822553E-2</c:v>
                </c:pt>
                <c:pt idx="22">
                  <c:v>2.8935999995155726E-2</c:v>
                </c:pt>
                <c:pt idx="23">
                  <c:v>3.295599999546539E-2</c:v>
                </c:pt>
                <c:pt idx="24">
                  <c:v>4.7731999991810881E-2</c:v>
                </c:pt>
                <c:pt idx="25">
                  <c:v>-4.0844000002834946E-2</c:v>
                </c:pt>
                <c:pt idx="26">
                  <c:v>3.6487999997916631E-2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A5-4413-80BB-A10D7B857AE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Active!$L$21:$L$50</c:f>
              <c:numCache>
                <c:formatCode>General</c:formatCode>
                <c:ptCount val="30"/>
                <c:pt idx="27">
                  <c:v>3.536199992231559E-2</c:v>
                </c:pt>
                <c:pt idx="28">
                  <c:v>3.6541190042044036E-2</c:v>
                </c:pt>
                <c:pt idx="29">
                  <c:v>3.5609590166131966E-2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A5-4413-80BB-A10D7B857A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A5-4413-80BB-A10D7B857A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A5-4413-80BB-A10D7B857A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Active!$O$21:$O$50</c:f>
              <c:numCache>
                <c:formatCode>General</c:formatCode>
                <c:ptCount val="30"/>
                <c:pt idx="0">
                  <c:v>-8.6266284448045932E-3</c:v>
                </c:pt>
                <c:pt idx="1">
                  <c:v>-6.6599636466440973E-3</c:v>
                </c:pt>
                <c:pt idx="2">
                  <c:v>-1.2464444058554016E-3</c:v>
                </c:pt>
                <c:pt idx="3">
                  <c:v>7.0687198869767015E-4</c:v>
                </c:pt>
                <c:pt idx="4">
                  <c:v>7.1428776847957259E-4</c:v>
                </c:pt>
                <c:pt idx="5">
                  <c:v>7.2763617208699595E-4</c:v>
                </c:pt>
                <c:pt idx="6">
                  <c:v>1.0346494550577522E-3</c:v>
                </c:pt>
                <c:pt idx="7">
                  <c:v>1.3001343712498552E-3</c:v>
                </c:pt>
                <c:pt idx="8">
                  <c:v>1.3060669950753778E-3</c:v>
                </c:pt>
                <c:pt idx="9">
                  <c:v>5.633916075793572E-3</c:v>
                </c:pt>
                <c:pt idx="10">
                  <c:v>5.8133779465156087E-3</c:v>
                </c:pt>
                <c:pt idx="11">
                  <c:v>1.0216867981009209E-2</c:v>
                </c:pt>
                <c:pt idx="12">
                  <c:v>1.0716691538309425E-2</c:v>
                </c:pt>
                <c:pt idx="13">
                  <c:v>1.5526566304851271E-2</c:v>
                </c:pt>
                <c:pt idx="14">
                  <c:v>1.5726792358962634E-2</c:v>
                </c:pt>
                <c:pt idx="15">
                  <c:v>1.8154718659557454E-2</c:v>
                </c:pt>
                <c:pt idx="16">
                  <c:v>1.8208112273987151E-2</c:v>
                </c:pt>
                <c:pt idx="17">
                  <c:v>2.2893401940193035E-2</c:v>
                </c:pt>
                <c:pt idx="18">
                  <c:v>2.2977941829706722E-2</c:v>
                </c:pt>
                <c:pt idx="19">
                  <c:v>2.2977941829706722E-2</c:v>
                </c:pt>
                <c:pt idx="20">
                  <c:v>2.4808156279880221E-2</c:v>
                </c:pt>
                <c:pt idx="21">
                  <c:v>2.7640984156566906E-2</c:v>
                </c:pt>
                <c:pt idx="22">
                  <c:v>2.7827861807070843E-2</c:v>
                </c:pt>
                <c:pt idx="23">
                  <c:v>3.2840928939636811E-2</c:v>
                </c:pt>
                <c:pt idx="24">
                  <c:v>3.3640350000125885E-2</c:v>
                </c:pt>
                <c:pt idx="25">
                  <c:v>3.3842059210193627E-2</c:v>
                </c:pt>
                <c:pt idx="26">
                  <c:v>3.4766065371018659E-2</c:v>
                </c:pt>
                <c:pt idx="27">
                  <c:v>3.5043415534861802E-2</c:v>
                </c:pt>
                <c:pt idx="28">
                  <c:v>3.5044898690818185E-2</c:v>
                </c:pt>
                <c:pt idx="29">
                  <c:v>3.5120539644593586E-2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A5-4413-80BB-A10D7B857AE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663</c:v>
                </c:pt>
                <c:pt idx="2">
                  <c:v>2488</c:v>
                </c:pt>
                <c:pt idx="3">
                  <c:v>3146.5</c:v>
                </c:pt>
                <c:pt idx="4">
                  <c:v>3149</c:v>
                </c:pt>
                <c:pt idx="5">
                  <c:v>3153.5</c:v>
                </c:pt>
                <c:pt idx="6">
                  <c:v>3257</c:v>
                </c:pt>
                <c:pt idx="7">
                  <c:v>3346.5</c:v>
                </c:pt>
                <c:pt idx="8">
                  <c:v>3348.5</c:v>
                </c:pt>
                <c:pt idx="9">
                  <c:v>4807.5</c:v>
                </c:pt>
                <c:pt idx="10">
                  <c:v>4868</c:v>
                </c:pt>
                <c:pt idx="11">
                  <c:v>6352.5</c:v>
                </c:pt>
                <c:pt idx="12">
                  <c:v>6521</c:v>
                </c:pt>
                <c:pt idx="13">
                  <c:v>8142.5</c:v>
                </c:pt>
                <c:pt idx="14">
                  <c:v>8210</c:v>
                </c:pt>
                <c:pt idx="15">
                  <c:v>9028.5</c:v>
                </c:pt>
                <c:pt idx="16">
                  <c:v>9046.5</c:v>
                </c:pt>
                <c:pt idx="17">
                  <c:v>10626</c:v>
                </c:pt>
                <c:pt idx="18">
                  <c:v>10654.5</c:v>
                </c:pt>
                <c:pt idx="19">
                  <c:v>10654.5</c:v>
                </c:pt>
                <c:pt idx="20">
                  <c:v>11271.5</c:v>
                </c:pt>
                <c:pt idx="21">
                  <c:v>12226.5</c:v>
                </c:pt>
                <c:pt idx="22">
                  <c:v>12289.5</c:v>
                </c:pt>
                <c:pt idx="23">
                  <c:v>13979.5</c:v>
                </c:pt>
                <c:pt idx="24">
                  <c:v>14249</c:v>
                </c:pt>
                <c:pt idx="25">
                  <c:v>14317</c:v>
                </c:pt>
                <c:pt idx="26">
                  <c:v>14628.5</c:v>
                </c:pt>
                <c:pt idx="27">
                  <c:v>14722</c:v>
                </c:pt>
                <c:pt idx="28">
                  <c:v>14722.5</c:v>
                </c:pt>
                <c:pt idx="29">
                  <c:v>14748</c:v>
                </c:pt>
              </c:numCache>
            </c:numRef>
          </c:xVal>
          <c:yVal>
            <c:numRef>
              <c:f>Active!$U$21:$U$50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A5-4413-80BB-A10D7B857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9760"/>
        <c:axId val="1"/>
      </c:scatterChart>
      <c:valAx>
        <c:axId val="72849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9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24249594002687"/>
          <c:y val="0.91249999999999998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Sex - O-C Diagr.</a:t>
            </a:r>
          </a:p>
        </c:rich>
      </c:tx>
      <c:layout>
        <c:manualLayout>
          <c:xMode val="edge"/>
          <c:yMode val="edge"/>
          <c:x val="0.3748011402880859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4599460787138"/>
          <c:y val="0.234375"/>
          <c:w val="0.8118034972517588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(2)'!$H$21:$H$27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B5-438A-8FCD-D6CA4D579BA7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(2)'!$I$21:$I$27</c:f>
              <c:numCache>
                <c:formatCode>General</c:formatCode>
                <c:ptCount val="7"/>
                <c:pt idx="0">
                  <c:v>0</c:v>
                </c:pt>
                <c:pt idx="1">
                  <c:v>-2.4215999997977633E-2</c:v>
                </c:pt>
                <c:pt idx="2">
                  <c:v>-0.22203200000512879</c:v>
                </c:pt>
                <c:pt idx="3">
                  <c:v>-0.21560400000453228</c:v>
                </c:pt>
                <c:pt idx="4">
                  <c:v>-0.21848400000453694</c:v>
                </c:pt>
                <c:pt idx="5">
                  <c:v>-0.22172800000407733</c:v>
                </c:pt>
                <c:pt idx="6">
                  <c:v>-0.22194000000308733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B5-438A-8FCD-D6CA4D579BA7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B5-438A-8FCD-D6CA4D579BA7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B5-438A-8FCD-D6CA4D579BA7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B5-438A-8FCD-D6CA4D579BA7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B5-438A-8FCD-D6CA4D579BA7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B5-438A-8FCD-D6CA4D579BA7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(2)'!$O$21:$O$27</c:f>
              <c:numCache>
                <c:formatCode>General</c:formatCode>
                <c:ptCount val="7"/>
                <c:pt idx="0">
                  <c:v>5.2101961974528599E-3</c:v>
                </c:pt>
                <c:pt idx="1">
                  <c:v>-4.3303008668097838E-2</c:v>
                </c:pt>
                <c:pt idx="2">
                  <c:v>-0.17687895962143538</c:v>
                </c:pt>
                <c:pt idx="3">
                  <c:v>-0.22506288934083982</c:v>
                </c:pt>
                <c:pt idx="4">
                  <c:v>-0.22524581997758775</c:v>
                </c:pt>
                <c:pt idx="5">
                  <c:v>-0.225575095123734</c:v>
                </c:pt>
                <c:pt idx="6">
                  <c:v>-0.23314842348509826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B5-438A-8FCD-D6CA4D57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9432"/>
        <c:axId val="1"/>
      </c:scatterChart>
      <c:valAx>
        <c:axId val="72849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21450309142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9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41341303628911"/>
          <c:y val="0.91249999999999998"/>
          <c:w val="0.7145147287211108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16</xdr:col>
      <xdr:colOff>371475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3771C8-564A-7474-2DD5-E6F29CC8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15</xdr:col>
      <xdr:colOff>219075</xdr:colOff>
      <xdr:row>18</xdr:row>
      <xdr:rowOff>57150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94EF0328-93FB-286F-2CBD-C1B00288D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13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bav-astro.de/sfs/BAVM_link.php?BAVMnr=241" TargetMode="External"/><Relationship Id="rId12" Type="http://schemas.openxmlformats.org/officeDocument/2006/relationships/hyperlink" Target="http://vsolj.cetus-net.org/vsoljno50.pdf" TargetMode="External"/><Relationship Id="rId17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5603" TargetMode="External"/><Relationship Id="rId16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158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vsolj.cetus-net.org/no46.pdf" TargetMode="External"/><Relationship Id="rId14" Type="http://schemas.openxmlformats.org/officeDocument/2006/relationships/hyperlink" Target="http://vsolj.cetus-net.org/vsoljno5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55"/>
  <sheetViews>
    <sheetView tabSelected="1" workbookViewId="0">
      <pane xSplit="13" ySplit="22" topLeftCell="N80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6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42578125" style="1" bestFit="1" customWidth="1"/>
    <col min="19" max="19" width="12.42578125" style="1" bestFit="1" customWidth="1"/>
    <col min="20" max="20" width="10.28515625" style="1"/>
    <col min="21" max="21" width="15" style="1" customWidth="1"/>
    <col min="22" max="16384" width="10.28515625" style="1"/>
  </cols>
  <sheetData>
    <row r="1" spans="1:21" ht="20.25" x14ac:dyDescent="0.3">
      <c r="A1" s="2" t="s">
        <v>0</v>
      </c>
      <c r="U1" s="78" t="s">
        <v>166</v>
      </c>
    </row>
    <row r="2" spans="1:21" x14ac:dyDescent="0.2">
      <c r="A2" s="1" t="s">
        <v>1</v>
      </c>
      <c r="C2" s="3"/>
      <c r="D2" s="3"/>
      <c r="U2" s="78" t="s">
        <v>164</v>
      </c>
    </row>
    <row r="3" spans="1:21" x14ac:dyDescent="0.2">
      <c r="U3" s="78"/>
    </row>
    <row r="4" spans="1:21" x14ac:dyDescent="0.2">
      <c r="A4" s="4" t="s">
        <v>2</v>
      </c>
      <c r="C4" s="5">
        <v>52015.435400000002</v>
      </c>
      <c r="D4" s="6">
        <v>0.44341999999999998</v>
      </c>
      <c r="U4" s="78"/>
    </row>
    <row r="5" spans="1:21" x14ac:dyDescent="0.2">
      <c r="A5" s="7" t="s">
        <v>3</v>
      </c>
      <c r="B5"/>
      <c r="C5" s="8">
        <v>-9.5</v>
      </c>
      <c r="D5" t="s">
        <v>4</v>
      </c>
    </row>
    <row r="6" spans="1:21" x14ac:dyDescent="0.2">
      <c r="A6" s="4" t="s">
        <v>5</v>
      </c>
    </row>
    <row r="7" spans="1:21" x14ac:dyDescent="0.2">
      <c r="A7" s="1" t="s">
        <v>6</v>
      </c>
      <c r="C7" s="9">
        <v>52015.435400000002</v>
      </c>
    </row>
    <row r="8" spans="1:21" x14ac:dyDescent="0.2">
      <c r="A8" s="1" t="s">
        <v>7</v>
      </c>
      <c r="C8" s="10">
        <v>0.44343199999999999</v>
      </c>
    </row>
    <row r="9" spans="1:21" x14ac:dyDescent="0.2">
      <c r="A9" s="11" t="s">
        <v>8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21" x14ac:dyDescent="0.2">
      <c r="A10"/>
      <c r="B10"/>
      <c r="C10" s="15" t="s">
        <v>9</v>
      </c>
      <c r="D10" s="15" t="s">
        <v>10</v>
      </c>
      <c r="E10"/>
    </row>
    <row r="11" spans="1:21" x14ac:dyDescent="0.2">
      <c r="A11" t="s">
        <v>11</v>
      </c>
      <c r="B11"/>
      <c r="C11" s="16">
        <f ca="1">INTERCEPT(INDIRECT($D$9):G991,INDIRECT($C$9):F991)</f>
        <v>-8.6266284448045932E-3</v>
      </c>
      <c r="D11" s="3"/>
      <c r="E11"/>
    </row>
    <row r="12" spans="1:21" x14ac:dyDescent="0.2">
      <c r="A12" t="s">
        <v>12</v>
      </c>
      <c r="B12"/>
      <c r="C12" s="16">
        <f ca="1">SLOPE(INDIRECT($D$9):G991,INDIRECT($C$9):F991)</f>
        <v>2.966311912760929E-6</v>
      </c>
      <c r="D12" s="3"/>
      <c r="E12"/>
    </row>
    <row r="13" spans="1:21" x14ac:dyDescent="0.2">
      <c r="A13" t="s">
        <v>13</v>
      </c>
      <c r="B13"/>
      <c r="C13" s="3" t="s">
        <v>14</v>
      </c>
    </row>
    <row r="14" spans="1:21" x14ac:dyDescent="0.2">
      <c r="A14"/>
      <c r="B14"/>
      <c r="C14"/>
    </row>
    <row r="15" spans="1:21" x14ac:dyDescent="0.2">
      <c r="A15" s="17" t="s">
        <v>15</v>
      </c>
      <c r="B15"/>
      <c r="C15" s="18">
        <f ca="1">(C7+C11)+(C8+C12)*INT(MAX(F21:F3532))</f>
        <v>59944.043971028557</v>
      </c>
      <c r="E15" s="11" t="s">
        <v>16</v>
      </c>
      <c r="F15" s="8">
        <v>1</v>
      </c>
    </row>
    <row r="16" spans="1:21" x14ac:dyDescent="0.2">
      <c r="A16" s="17" t="s">
        <v>17</v>
      </c>
      <c r="B16"/>
      <c r="C16" s="18">
        <f ca="1">+C8+C12</f>
        <v>0.44343496631191276</v>
      </c>
      <c r="E16" s="11" t="s">
        <v>18</v>
      </c>
      <c r="F16" s="16">
        <f ca="1">NOW()+15018.5+$C$5/24</f>
        <v>60178.81518784722</v>
      </c>
    </row>
    <row r="17" spans="1:21" x14ac:dyDescent="0.2">
      <c r="A17" s="11" t="s">
        <v>19</v>
      </c>
      <c r="B17"/>
      <c r="C17">
        <f>COUNT(C21:C2190)</f>
        <v>76</v>
      </c>
      <c r="E17" s="11" t="s">
        <v>20</v>
      </c>
      <c r="F17" s="16">
        <f ca="1">ROUND(2*(F16-$C$7)/$C$8,0)/2+F15</f>
        <v>18410.5</v>
      </c>
    </row>
    <row r="18" spans="1:21" x14ac:dyDescent="0.2">
      <c r="A18" s="17" t="s">
        <v>21</v>
      </c>
      <c r="B18"/>
      <c r="C18" s="19">
        <f ca="1">+C15</f>
        <v>59944.043971028557</v>
      </c>
      <c r="D18" s="20">
        <f ca="1">+C16</f>
        <v>0.44343496631191276</v>
      </c>
      <c r="E18" s="11" t="s">
        <v>22</v>
      </c>
      <c r="F18" s="14">
        <f ca="1">ROUND(2*(F16-$C$15)/$C$16,0)/2+F15</f>
        <v>530.5</v>
      </c>
      <c r="S18" s="1">
        <f ca="1">SQRT(SUM(S21:S27)/COUNT(S21:S27))</f>
        <v>7.7568808277937154E-3</v>
      </c>
    </row>
    <row r="19" spans="1:21" x14ac:dyDescent="0.2">
      <c r="E19" s="11" t="s">
        <v>23</v>
      </c>
      <c r="F19" s="21">
        <f ca="1">+$C$15+$C$16*F18-15018.5-$C$5/24</f>
        <v>45161.182053990364</v>
      </c>
    </row>
    <row r="20" spans="1:21" x14ac:dyDescent="0.2">
      <c r="A20" s="15" t="s">
        <v>24</v>
      </c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  <c r="H20" s="22" t="s">
        <v>31</v>
      </c>
      <c r="I20" s="22" t="s">
        <v>32</v>
      </c>
      <c r="J20" s="22" t="s">
        <v>33</v>
      </c>
      <c r="K20" s="22" t="s">
        <v>34</v>
      </c>
      <c r="L20" s="22" t="s">
        <v>165</v>
      </c>
      <c r="M20" s="22" t="s">
        <v>36</v>
      </c>
      <c r="N20" s="22" t="s">
        <v>37</v>
      </c>
      <c r="O20" s="22" t="s">
        <v>38</v>
      </c>
      <c r="P20" s="22" t="s">
        <v>39</v>
      </c>
      <c r="Q20" s="15" t="s">
        <v>40</v>
      </c>
      <c r="U20" s="23" t="s">
        <v>41</v>
      </c>
    </row>
    <row r="21" spans="1:21" s="82" customFormat="1" ht="12" customHeight="1" x14ac:dyDescent="0.2">
      <c r="A21" s="82" t="s">
        <v>42</v>
      </c>
      <c r="C21" s="83">
        <v>52015.435400000002</v>
      </c>
      <c r="D21" s="84"/>
      <c r="E21" s="82">
        <f t="shared" ref="E21:E52" si="0">+(C21-C$7)/C$8</f>
        <v>0</v>
      </c>
      <c r="F21" s="82">
        <f t="shared" ref="F21:F52" si="1">ROUND(2*E21,0)/2</f>
        <v>0</v>
      </c>
      <c r="G21" s="82">
        <f t="shared" ref="G21:G52" si="2">+C21-(C$7+F21*C$8)</f>
        <v>0</v>
      </c>
      <c r="K21" s="82">
        <f>+G21</f>
        <v>0</v>
      </c>
      <c r="O21" s="82">
        <f t="shared" ref="O21:O52" ca="1" si="3">+C$11+C$12*$F21</f>
        <v>-8.6266284448045932E-3</v>
      </c>
      <c r="Q21" s="85">
        <f t="shared" ref="Q21:Q52" si="4">+C21-15018.5</f>
        <v>36996.935400000002</v>
      </c>
      <c r="R21" s="82" t="e">
        <v>#N/A</v>
      </c>
      <c r="S21" s="82">
        <f t="shared" ref="S21:S52" ca="1" si="5">+(O21-G21)^2</f>
        <v>7.4418718324711716E-5</v>
      </c>
    </row>
    <row r="22" spans="1:21" s="82" customFormat="1" ht="12" customHeight="1" x14ac:dyDescent="0.2">
      <c r="A22" s="26" t="s">
        <v>43</v>
      </c>
      <c r="B22" s="86"/>
      <c r="C22" s="87">
        <v>52309.406600000002</v>
      </c>
      <c r="D22" s="87">
        <v>5.0000000000000001E-4</v>
      </c>
      <c r="E22" s="82">
        <f t="shared" si="0"/>
        <v>662.94538959750298</v>
      </c>
      <c r="F22" s="82">
        <f t="shared" si="1"/>
        <v>663</v>
      </c>
      <c r="G22" s="82">
        <f t="shared" si="2"/>
        <v>-2.4215999997977633E-2</v>
      </c>
      <c r="J22" s="82">
        <f>+G22</f>
        <v>-2.4215999997977633E-2</v>
      </c>
      <c r="O22" s="82">
        <f t="shared" ca="1" si="3"/>
        <v>-6.6599636466440973E-3</v>
      </c>
      <c r="Q22" s="85">
        <f t="shared" si="4"/>
        <v>37290.906600000002</v>
      </c>
      <c r="R22" s="82" t="s">
        <v>33</v>
      </c>
      <c r="S22" s="82">
        <f t="shared" ca="1" si="5"/>
        <v>3.0821441236934452E-4</v>
      </c>
    </row>
    <row r="23" spans="1:21" s="82" customFormat="1" ht="12" customHeight="1" x14ac:dyDescent="0.2">
      <c r="A23" s="26" t="s">
        <v>44</v>
      </c>
      <c r="B23" s="28" t="s">
        <v>45</v>
      </c>
      <c r="C23" s="29">
        <v>53118.693899999998</v>
      </c>
      <c r="D23" s="26">
        <v>2.0000000000000001E-4</v>
      </c>
      <c r="E23" s="82">
        <f t="shared" si="0"/>
        <v>2487.9992873766355</v>
      </c>
      <c r="F23" s="82">
        <f t="shared" si="1"/>
        <v>2488</v>
      </c>
      <c r="G23" s="82">
        <f t="shared" si="2"/>
        <v>-3.1600000511389226E-4</v>
      </c>
      <c r="K23" s="82">
        <f t="shared" ref="K23:K47" si="6">+G23</f>
        <v>-3.1600000511389226E-4</v>
      </c>
      <c r="O23" s="82">
        <f t="shared" ca="1" si="3"/>
        <v>-1.2464444058554016E-3</v>
      </c>
      <c r="Q23" s="85">
        <f t="shared" si="4"/>
        <v>38100.193899999998</v>
      </c>
      <c r="R23" s="82" t="s">
        <v>34</v>
      </c>
      <c r="S23" s="82">
        <f t="shared" ca="1" si="5"/>
        <v>8.6572678287122642E-7</v>
      </c>
    </row>
    <row r="24" spans="1:21" s="82" customFormat="1" ht="12" customHeight="1" x14ac:dyDescent="0.2">
      <c r="A24" s="30" t="s">
        <v>46</v>
      </c>
      <c r="B24" s="31" t="s">
        <v>47</v>
      </c>
      <c r="C24" s="32">
        <v>53410.700299999997</v>
      </c>
      <c r="D24" s="32">
        <v>8.9999999999999998E-4</v>
      </c>
      <c r="E24" s="82">
        <f t="shared" si="0"/>
        <v>3146.51378339857</v>
      </c>
      <c r="F24" s="82">
        <f t="shared" si="1"/>
        <v>3146.5</v>
      </c>
      <c r="G24" s="82">
        <f t="shared" si="2"/>
        <v>6.1119999954826199E-3</v>
      </c>
      <c r="K24" s="82">
        <f t="shared" si="6"/>
        <v>6.1119999954826199E-3</v>
      </c>
      <c r="O24" s="82">
        <f t="shared" ca="1" si="3"/>
        <v>7.0687198869767015E-4</v>
      </c>
      <c r="Q24" s="85">
        <f t="shared" si="4"/>
        <v>38392.200299999997</v>
      </c>
      <c r="R24" s="82" t="s">
        <v>34</v>
      </c>
      <c r="S24" s="82">
        <f t="shared" ca="1" si="5"/>
        <v>2.9215408769731043E-5</v>
      </c>
    </row>
    <row r="25" spans="1:21" s="82" customFormat="1" ht="12" customHeight="1" x14ac:dyDescent="0.2">
      <c r="A25" s="30" t="s">
        <v>46</v>
      </c>
      <c r="B25" s="31" t="s">
        <v>45</v>
      </c>
      <c r="C25" s="32">
        <v>53411.805999999997</v>
      </c>
      <c r="D25" s="32">
        <v>6.9999999999999999E-4</v>
      </c>
      <c r="E25" s="82">
        <f t="shared" si="0"/>
        <v>3149.0072886034268</v>
      </c>
      <c r="F25" s="82">
        <f t="shared" si="1"/>
        <v>3149</v>
      </c>
      <c r="G25" s="82">
        <f t="shared" si="2"/>
        <v>3.2319999954779632E-3</v>
      </c>
      <c r="K25" s="82">
        <f t="shared" si="6"/>
        <v>3.2319999954779632E-3</v>
      </c>
      <c r="O25" s="82">
        <f t="shared" ca="1" si="3"/>
        <v>7.1428776847957259E-4</v>
      </c>
      <c r="Q25" s="85">
        <f t="shared" si="4"/>
        <v>38393.305999999997</v>
      </c>
      <c r="R25" s="82" t="s">
        <v>34</v>
      </c>
      <c r="S25" s="82">
        <f t="shared" ca="1" si="5"/>
        <v>6.3388748579771958E-6</v>
      </c>
    </row>
    <row r="26" spans="1:21" s="82" customFormat="1" ht="12" customHeight="1" x14ac:dyDescent="0.2">
      <c r="A26" s="30" t="s">
        <v>46</v>
      </c>
      <c r="B26" s="31" t="s">
        <v>47</v>
      </c>
      <c r="C26" s="32">
        <v>53413.798199999997</v>
      </c>
      <c r="D26" s="32">
        <v>5.9999999999999995E-4</v>
      </c>
      <c r="E26" s="82">
        <f t="shared" si="0"/>
        <v>3153.499972938343</v>
      </c>
      <c r="F26" s="82">
        <f t="shared" si="1"/>
        <v>3153.5</v>
      </c>
      <c r="G26" s="82">
        <f t="shared" si="2"/>
        <v>-1.200000406242907E-5</v>
      </c>
      <c r="K26" s="82">
        <f t="shared" si="6"/>
        <v>-1.200000406242907E-5</v>
      </c>
      <c r="O26" s="82">
        <f t="shared" ca="1" si="3"/>
        <v>7.2763617208699595E-4</v>
      </c>
      <c r="Q26" s="85">
        <f t="shared" si="4"/>
        <v>38395.298199999997</v>
      </c>
      <c r="R26" s="82" t="s">
        <v>34</v>
      </c>
      <c r="S26" s="82">
        <f t="shared" ca="1" si="5"/>
        <v>5.470616730689433E-7</v>
      </c>
    </row>
    <row r="27" spans="1:21" s="82" customFormat="1" ht="12" customHeight="1" x14ac:dyDescent="0.2">
      <c r="A27" s="30" t="s">
        <v>46</v>
      </c>
      <c r="B27" s="31" t="s">
        <v>45</v>
      </c>
      <c r="C27" s="32">
        <v>53459.693200000002</v>
      </c>
      <c r="D27" s="32">
        <v>1E-3</v>
      </c>
      <c r="E27" s="82">
        <f t="shared" si="0"/>
        <v>3256.9994948492654</v>
      </c>
      <c r="F27" s="82">
        <f t="shared" si="1"/>
        <v>3257</v>
      </c>
      <c r="G27" s="82">
        <f t="shared" si="2"/>
        <v>-2.2400000307243317E-4</v>
      </c>
      <c r="K27" s="82">
        <f t="shared" si="6"/>
        <v>-2.2400000307243317E-4</v>
      </c>
      <c r="O27" s="82">
        <f t="shared" ca="1" si="3"/>
        <v>1.0346494550577522E-3</v>
      </c>
      <c r="Q27" s="85">
        <f t="shared" si="4"/>
        <v>38441.193200000002</v>
      </c>
      <c r="R27" s="82" t="s">
        <v>34</v>
      </c>
      <c r="S27" s="82">
        <f t="shared" ca="1" si="5"/>
        <v>1.5841984584514094E-6</v>
      </c>
    </row>
    <row r="28" spans="1:21" s="82" customFormat="1" ht="12" customHeight="1" x14ac:dyDescent="0.2">
      <c r="A28" s="33" t="s">
        <v>48</v>
      </c>
      <c r="B28" s="31" t="s">
        <v>47</v>
      </c>
      <c r="C28" s="33">
        <v>53499.380700000002</v>
      </c>
      <c r="D28" s="33">
        <v>5.9999999999999995E-4</v>
      </c>
      <c r="E28" s="82">
        <f t="shared" si="0"/>
        <v>3346.5002525753653</v>
      </c>
      <c r="F28" s="82">
        <f t="shared" si="1"/>
        <v>3346.5</v>
      </c>
      <c r="G28" s="82">
        <f t="shared" si="2"/>
        <v>1.1200000153621659E-4</v>
      </c>
      <c r="K28" s="82">
        <f t="shared" si="6"/>
        <v>1.1200000153621659E-4</v>
      </c>
      <c r="O28" s="82">
        <f t="shared" ca="1" si="3"/>
        <v>1.3001343712498552E-3</v>
      </c>
      <c r="Q28" s="85">
        <f t="shared" si="4"/>
        <v>38480.880700000002</v>
      </c>
      <c r="R28" s="82" t="s">
        <v>34</v>
      </c>
      <c r="S28" s="82">
        <f t="shared" ca="1" si="5"/>
        <v>1.4116632804948252E-6</v>
      </c>
    </row>
    <row r="29" spans="1:21" s="82" customFormat="1" ht="12" customHeight="1" x14ac:dyDescent="0.2">
      <c r="A29" s="33" t="s">
        <v>48</v>
      </c>
      <c r="B29" s="31" t="s">
        <v>47</v>
      </c>
      <c r="C29" s="33">
        <v>53500.266799999998</v>
      </c>
      <c r="D29" s="33">
        <v>5.0000000000000001E-4</v>
      </c>
      <c r="E29" s="82">
        <f t="shared" si="0"/>
        <v>3348.4985296505338</v>
      </c>
      <c r="F29" s="82">
        <f t="shared" si="1"/>
        <v>3348.5</v>
      </c>
      <c r="G29" s="82">
        <f t="shared" si="2"/>
        <v>-6.520000024465844E-4</v>
      </c>
      <c r="K29" s="82">
        <f t="shared" si="6"/>
        <v>-6.520000024465844E-4</v>
      </c>
      <c r="O29" s="82">
        <f t="shared" ca="1" si="3"/>
        <v>1.3060669950753778E-3</v>
      </c>
      <c r="Q29" s="85">
        <f t="shared" si="4"/>
        <v>38481.766799999998</v>
      </c>
      <c r="R29" s="82" t="s">
        <v>34</v>
      </c>
      <c r="S29" s="82">
        <f t="shared" ca="1" si="5"/>
        <v>3.834026366784672E-6</v>
      </c>
    </row>
    <row r="30" spans="1:21" s="82" customFormat="1" ht="12" customHeight="1" x14ac:dyDescent="0.2">
      <c r="A30" s="34" t="s">
        <v>49</v>
      </c>
      <c r="B30" s="35" t="s">
        <v>47</v>
      </c>
      <c r="C30" s="36">
        <v>54147.240100000003</v>
      </c>
      <c r="D30" s="37"/>
      <c r="E30" s="82">
        <f t="shared" si="0"/>
        <v>4807.5120875354069</v>
      </c>
      <c r="F30" s="82">
        <f t="shared" si="1"/>
        <v>4807.5</v>
      </c>
      <c r="G30" s="82">
        <f t="shared" si="2"/>
        <v>5.3600000028382055E-3</v>
      </c>
      <c r="K30" s="82">
        <f t="shared" si="6"/>
        <v>5.3600000028382055E-3</v>
      </c>
      <c r="O30" s="82">
        <f t="shared" ca="1" si="3"/>
        <v>5.633916075793572E-3</v>
      </c>
      <c r="Q30" s="85">
        <f t="shared" si="4"/>
        <v>39128.740100000003</v>
      </c>
      <c r="S30" s="82">
        <f t="shared" ca="1" si="5"/>
        <v>7.5030015023289653E-8</v>
      </c>
    </row>
    <row r="31" spans="1:21" s="82" customFormat="1" ht="12" customHeight="1" x14ac:dyDescent="0.2">
      <c r="A31" s="34" t="s">
        <v>49</v>
      </c>
      <c r="B31" s="35" t="s">
        <v>45</v>
      </c>
      <c r="C31" s="36">
        <v>54174.069900000002</v>
      </c>
      <c r="D31" s="37"/>
      <c r="E31" s="82">
        <f t="shared" si="0"/>
        <v>4868.0169676523119</v>
      </c>
      <c r="F31" s="82">
        <f t="shared" si="1"/>
        <v>4868</v>
      </c>
      <c r="G31" s="82">
        <f t="shared" si="2"/>
        <v>7.5240000005578622E-3</v>
      </c>
      <c r="K31" s="82">
        <f t="shared" si="6"/>
        <v>7.5240000005578622E-3</v>
      </c>
      <c r="O31" s="82">
        <f t="shared" ca="1" si="3"/>
        <v>5.8133779465156087E-3</v>
      </c>
      <c r="Q31" s="85">
        <f t="shared" si="4"/>
        <v>39155.569900000002</v>
      </c>
      <c r="S31" s="82">
        <f t="shared" ca="1" si="5"/>
        <v>2.9262278117757384E-6</v>
      </c>
    </row>
    <row r="32" spans="1:21" s="82" customFormat="1" ht="12" customHeight="1" x14ac:dyDescent="0.2">
      <c r="A32" s="38" t="s">
        <v>50</v>
      </c>
      <c r="B32" s="39" t="s">
        <v>47</v>
      </c>
      <c r="C32" s="40">
        <v>54832.3514</v>
      </c>
      <c r="D32" s="83"/>
      <c r="E32" s="82">
        <f t="shared" si="0"/>
        <v>6352.5320680510149</v>
      </c>
      <c r="F32" s="82">
        <f t="shared" si="1"/>
        <v>6352.5</v>
      </c>
      <c r="G32" s="82">
        <f t="shared" si="2"/>
        <v>1.4219999997294508E-2</v>
      </c>
      <c r="K32" s="82">
        <f t="shared" si="6"/>
        <v>1.4219999997294508E-2</v>
      </c>
      <c r="O32" s="82">
        <f t="shared" ca="1" si="3"/>
        <v>1.0216867981009209E-2</v>
      </c>
      <c r="Q32" s="85">
        <f t="shared" si="4"/>
        <v>39813.8514</v>
      </c>
      <c r="S32" s="82">
        <f t="shared" ca="1" si="5"/>
        <v>1.6025065939808403E-5</v>
      </c>
    </row>
    <row r="33" spans="1:19" s="82" customFormat="1" ht="12" customHeight="1" x14ac:dyDescent="0.2">
      <c r="A33" s="38" t="s">
        <v>51</v>
      </c>
      <c r="B33" s="39" t="s">
        <v>45</v>
      </c>
      <c r="C33" s="40">
        <v>54907.067600000002</v>
      </c>
      <c r="D33" s="83"/>
      <c r="E33" s="82">
        <f t="shared" si="0"/>
        <v>6521.0273503039925</v>
      </c>
      <c r="F33" s="82">
        <f t="shared" si="1"/>
        <v>6521</v>
      </c>
      <c r="G33" s="82">
        <f t="shared" si="2"/>
        <v>1.2128000002121553E-2</v>
      </c>
      <c r="K33" s="82">
        <f t="shared" si="6"/>
        <v>1.2128000002121553E-2</v>
      </c>
      <c r="O33" s="82">
        <f t="shared" ca="1" si="3"/>
        <v>1.0716691538309425E-2</v>
      </c>
      <c r="Q33" s="85">
        <f t="shared" si="4"/>
        <v>39888.567600000002</v>
      </c>
      <c r="S33" s="82">
        <f t="shared" ca="1" si="5"/>
        <v>1.9917915800277476E-6</v>
      </c>
    </row>
    <row r="34" spans="1:19" s="82" customFormat="1" ht="12" customHeight="1" x14ac:dyDescent="0.2">
      <c r="A34" s="38" t="s">
        <v>52</v>
      </c>
      <c r="B34" s="39" t="s">
        <v>47</v>
      </c>
      <c r="C34" s="40">
        <v>55626.100599999998</v>
      </c>
      <c r="D34" s="83"/>
      <c r="E34" s="82">
        <f t="shared" si="0"/>
        <v>8142.5454184632499</v>
      </c>
      <c r="F34" s="82">
        <f t="shared" si="1"/>
        <v>8142.5</v>
      </c>
      <c r="G34" s="82">
        <f t="shared" si="2"/>
        <v>2.0139999993261881E-2</v>
      </c>
      <c r="K34" s="82">
        <f t="shared" si="6"/>
        <v>2.0139999993261881E-2</v>
      </c>
      <c r="O34" s="82">
        <f t="shared" ca="1" si="3"/>
        <v>1.5526566304851271E-2</v>
      </c>
      <c r="Q34" s="85">
        <f t="shared" si="4"/>
        <v>40607.600599999998</v>
      </c>
      <c r="S34" s="82">
        <f t="shared" ca="1" si="5"/>
        <v>2.1283770397361925E-5</v>
      </c>
    </row>
    <row r="35" spans="1:19" s="82" customFormat="1" ht="12" customHeight="1" x14ac:dyDescent="0.2">
      <c r="A35" s="38" t="s">
        <v>52</v>
      </c>
      <c r="B35" s="39" t="s">
        <v>45</v>
      </c>
      <c r="C35" s="40">
        <v>55656.031900000002</v>
      </c>
      <c r="D35" s="83"/>
      <c r="E35" s="82">
        <f t="shared" si="0"/>
        <v>8210.0446066138666</v>
      </c>
      <c r="F35" s="82">
        <f t="shared" si="1"/>
        <v>8210</v>
      </c>
      <c r="G35" s="82">
        <f t="shared" si="2"/>
        <v>1.9780000002356246E-2</v>
      </c>
      <c r="K35" s="82">
        <f t="shared" si="6"/>
        <v>1.9780000002356246E-2</v>
      </c>
      <c r="O35" s="82">
        <f t="shared" ca="1" si="3"/>
        <v>1.5726792358962634E-2</v>
      </c>
      <c r="Q35" s="85">
        <f t="shared" si="4"/>
        <v>40637.531900000002</v>
      </c>
      <c r="S35" s="82">
        <f t="shared" ca="1" si="5"/>
        <v>1.6428492200464399E-5</v>
      </c>
    </row>
    <row r="36" spans="1:19" s="82" customFormat="1" ht="12" customHeight="1" x14ac:dyDescent="0.2">
      <c r="A36" s="38" t="s">
        <v>53</v>
      </c>
      <c r="B36" s="39" t="s">
        <v>47</v>
      </c>
      <c r="C36" s="40">
        <v>56018.982199999999</v>
      </c>
      <c r="D36" s="83"/>
      <c r="E36" s="82">
        <f t="shared" si="0"/>
        <v>9028.5473308195997</v>
      </c>
      <c r="F36" s="82">
        <f t="shared" si="1"/>
        <v>9028.5</v>
      </c>
      <c r="G36" s="82">
        <f t="shared" si="2"/>
        <v>2.0987999996577855E-2</v>
      </c>
      <c r="K36" s="82">
        <f t="shared" si="6"/>
        <v>2.0987999996577855E-2</v>
      </c>
      <c r="O36" s="82">
        <f t="shared" ca="1" si="3"/>
        <v>1.8154718659557454E-2</v>
      </c>
      <c r="Q36" s="85">
        <f t="shared" si="4"/>
        <v>41000.482199999999</v>
      </c>
      <c r="S36" s="82">
        <f t="shared" ca="1" si="5"/>
        <v>8.0274831347081126E-6</v>
      </c>
    </row>
    <row r="37" spans="1:19" s="82" customFormat="1" ht="12" customHeight="1" x14ac:dyDescent="0.2">
      <c r="A37" s="38" t="s">
        <v>53</v>
      </c>
      <c r="B37" s="39" t="s">
        <v>47</v>
      </c>
      <c r="C37" s="40">
        <v>56026.963799999998</v>
      </c>
      <c r="D37" s="83"/>
      <c r="E37" s="82">
        <f t="shared" si="0"/>
        <v>9046.5469339154497</v>
      </c>
      <c r="F37" s="82">
        <f t="shared" si="1"/>
        <v>9046.5</v>
      </c>
      <c r="G37" s="82">
        <f t="shared" si="2"/>
        <v>2.0811999995203223E-2</v>
      </c>
      <c r="K37" s="82">
        <f t="shared" si="6"/>
        <v>2.0811999995203223E-2</v>
      </c>
      <c r="O37" s="82">
        <f t="shared" ca="1" si="3"/>
        <v>1.8208112273987151E-2</v>
      </c>
      <c r="Q37" s="85">
        <f t="shared" si="4"/>
        <v>41008.463799999998</v>
      </c>
      <c r="S37" s="82">
        <f t="shared" ca="1" si="5"/>
        <v>6.7802312646998294E-6</v>
      </c>
    </row>
    <row r="38" spans="1:19" s="82" customFormat="1" ht="12" customHeight="1" x14ac:dyDescent="0.2">
      <c r="A38" s="33" t="s">
        <v>54</v>
      </c>
      <c r="B38" s="31"/>
      <c r="C38" s="33">
        <v>56727.369200000001</v>
      </c>
      <c r="D38" s="33">
        <v>2.9999999999999997E-4</v>
      </c>
      <c r="E38" s="82">
        <f t="shared" si="0"/>
        <v>10626.057208320552</v>
      </c>
      <c r="F38" s="82">
        <f t="shared" si="1"/>
        <v>10626</v>
      </c>
      <c r="G38" s="82">
        <f t="shared" si="2"/>
        <v>2.536800000234507E-2</v>
      </c>
      <c r="K38" s="82">
        <f t="shared" si="6"/>
        <v>2.536800000234507E-2</v>
      </c>
      <c r="O38" s="82">
        <f t="shared" ca="1" si="3"/>
        <v>2.2893401940193035E-2</v>
      </c>
      <c r="Q38" s="85">
        <f t="shared" si="4"/>
        <v>41708.869200000001</v>
      </c>
      <c r="S38" s="82">
        <f t="shared" ca="1" si="5"/>
        <v>6.1236355692066065E-6</v>
      </c>
    </row>
    <row r="39" spans="1:19" s="82" customFormat="1" ht="12" customHeight="1" x14ac:dyDescent="0.2">
      <c r="A39" s="44" t="s">
        <v>57</v>
      </c>
      <c r="B39" s="45" t="s">
        <v>47</v>
      </c>
      <c r="C39" s="44">
        <v>56740.00549999997</v>
      </c>
      <c r="D39" s="44" t="s">
        <v>58</v>
      </c>
      <c r="E39" s="82">
        <f t="shared" si="0"/>
        <v>10654.553798553032</v>
      </c>
      <c r="F39" s="82">
        <f t="shared" si="1"/>
        <v>10654.5</v>
      </c>
      <c r="G39" s="82">
        <f t="shared" si="2"/>
        <v>2.385599997069221E-2</v>
      </c>
      <c r="K39" s="82">
        <f t="shared" si="6"/>
        <v>2.385599997069221E-2</v>
      </c>
      <c r="O39" s="82">
        <f t="shared" ca="1" si="3"/>
        <v>2.2977941829706722E-2</v>
      </c>
      <c r="Q39" s="85">
        <f t="shared" si="4"/>
        <v>41721.50549999997</v>
      </c>
      <c r="S39" s="82">
        <f t="shared" ca="1" si="5"/>
        <v>7.7098609895089145E-7</v>
      </c>
    </row>
    <row r="40" spans="1:19" s="82" customFormat="1" ht="12" customHeight="1" x14ac:dyDescent="0.2">
      <c r="A40" s="38" t="s">
        <v>55</v>
      </c>
      <c r="B40" s="39" t="s">
        <v>47</v>
      </c>
      <c r="C40" s="40">
        <v>56740.005499999999</v>
      </c>
      <c r="D40" s="83"/>
      <c r="E40" s="82">
        <f t="shared" si="0"/>
        <v>10654.553798553097</v>
      </c>
      <c r="F40" s="82">
        <f t="shared" si="1"/>
        <v>10654.5</v>
      </c>
      <c r="G40" s="82">
        <f t="shared" si="2"/>
        <v>2.385599999979604E-2</v>
      </c>
      <c r="K40" s="82">
        <f t="shared" si="6"/>
        <v>2.385599999979604E-2</v>
      </c>
      <c r="O40" s="82">
        <f t="shared" ca="1" si="3"/>
        <v>2.2977941829706722E-2</v>
      </c>
      <c r="Q40" s="85">
        <f t="shared" si="4"/>
        <v>41721.505499999999</v>
      </c>
      <c r="S40" s="82">
        <f t="shared" ca="1" si="5"/>
        <v>7.7098615006060283E-7</v>
      </c>
    </row>
    <row r="41" spans="1:19" s="82" customFormat="1" ht="12" customHeight="1" x14ac:dyDescent="0.2">
      <c r="A41" s="41" t="s">
        <v>56</v>
      </c>
      <c r="B41" s="42" t="s">
        <v>45</v>
      </c>
      <c r="C41" s="43">
        <v>57013.606</v>
      </c>
      <c r="D41" s="43">
        <v>6.0000000000000001E-3</v>
      </c>
      <c r="E41" s="82">
        <f t="shared" si="0"/>
        <v>11271.56046473867</v>
      </c>
      <c r="F41" s="82">
        <f t="shared" si="1"/>
        <v>11271.5</v>
      </c>
      <c r="G41" s="82">
        <f t="shared" si="2"/>
        <v>2.6811999996425584E-2</v>
      </c>
      <c r="K41" s="82">
        <f t="shared" si="6"/>
        <v>2.6811999996425584E-2</v>
      </c>
      <c r="O41" s="82">
        <f t="shared" ca="1" si="3"/>
        <v>2.4808156279880221E-2</v>
      </c>
      <c r="Q41" s="85">
        <f t="shared" si="4"/>
        <v>41995.106</v>
      </c>
      <c r="S41" s="82">
        <f t="shared" ca="1" si="5"/>
        <v>4.0153896403383332E-6</v>
      </c>
    </row>
    <row r="42" spans="1:19" s="82" customFormat="1" ht="12" customHeight="1" x14ac:dyDescent="0.2">
      <c r="A42" s="44" t="s">
        <v>59</v>
      </c>
      <c r="B42" s="45" t="s">
        <v>47</v>
      </c>
      <c r="C42" s="44">
        <v>57437.085599999999</v>
      </c>
      <c r="D42" s="44" t="s">
        <v>60</v>
      </c>
      <c r="E42" s="82">
        <f t="shared" si="0"/>
        <v>12226.56506521856</v>
      </c>
      <c r="F42" s="82">
        <f t="shared" si="1"/>
        <v>12226.5</v>
      </c>
      <c r="G42" s="82">
        <f t="shared" si="2"/>
        <v>2.8851999995822553E-2</v>
      </c>
      <c r="K42" s="82">
        <f t="shared" si="6"/>
        <v>2.8851999995822553E-2</v>
      </c>
      <c r="O42" s="82">
        <f t="shared" ca="1" si="3"/>
        <v>2.7640984156566906E-2</v>
      </c>
      <c r="Q42" s="85">
        <f t="shared" si="4"/>
        <v>42418.585599999999</v>
      </c>
      <c r="S42" s="82">
        <f t="shared" ca="1" si="5"/>
        <v>1.4665593629280589E-6</v>
      </c>
    </row>
    <row r="43" spans="1:19" s="82" customFormat="1" ht="12" customHeight="1" x14ac:dyDescent="0.2">
      <c r="A43" s="44" t="s">
        <v>59</v>
      </c>
      <c r="B43" s="45" t="s">
        <v>47</v>
      </c>
      <c r="C43" s="44">
        <v>57465.0219</v>
      </c>
      <c r="D43" s="44" t="s">
        <v>58</v>
      </c>
      <c r="E43" s="82">
        <f t="shared" si="0"/>
        <v>12289.565254650088</v>
      </c>
      <c r="F43" s="82">
        <f t="shared" si="1"/>
        <v>12289.5</v>
      </c>
      <c r="G43" s="82">
        <f t="shared" si="2"/>
        <v>2.8935999995155726E-2</v>
      </c>
      <c r="K43" s="82">
        <f t="shared" si="6"/>
        <v>2.8935999995155726E-2</v>
      </c>
      <c r="O43" s="82">
        <f t="shared" ca="1" si="3"/>
        <v>2.7827861807070843E-2</v>
      </c>
      <c r="Q43" s="85">
        <f t="shared" si="4"/>
        <v>42446.5219</v>
      </c>
      <c r="S43" s="82">
        <f t="shared" ca="1" si="5"/>
        <v>1.2279702438920465E-6</v>
      </c>
    </row>
    <row r="44" spans="1:19" s="82" customFormat="1" ht="12" customHeight="1" x14ac:dyDescent="0.2">
      <c r="A44" s="46" t="s">
        <v>61</v>
      </c>
      <c r="B44" s="47" t="s">
        <v>45</v>
      </c>
      <c r="C44" s="44">
        <v>58214.425999999999</v>
      </c>
      <c r="D44" s="44">
        <v>4.0000000000000001E-3</v>
      </c>
      <c r="E44" s="82">
        <f t="shared" si="0"/>
        <v>13979.574320301641</v>
      </c>
      <c r="F44" s="82">
        <f t="shared" si="1"/>
        <v>13979.5</v>
      </c>
      <c r="G44" s="82">
        <f t="shared" si="2"/>
        <v>3.295599999546539E-2</v>
      </c>
      <c r="K44" s="82">
        <f t="shared" si="6"/>
        <v>3.295599999546539E-2</v>
      </c>
      <c r="O44" s="82">
        <f t="shared" ca="1" si="3"/>
        <v>3.2840928939636811E-2</v>
      </c>
      <c r="Q44" s="85">
        <f t="shared" si="4"/>
        <v>43195.925999999999</v>
      </c>
      <c r="S44" s="82">
        <f t="shared" ca="1" si="5"/>
        <v>1.3241347889503987E-8</v>
      </c>
    </row>
    <row r="45" spans="1:19" s="82" customFormat="1" ht="12" customHeight="1" x14ac:dyDescent="0.2">
      <c r="A45" s="44" t="s">
        <v>62</v>
      </c>
      <c r="B45" s="45" t="s">
        <v>45</v>
      </c>
      <c r="C45" s="44">
        <v>58333.945699999997</v>
      </c>
      <c r="D45" s="44">
        <v>5.0000000000000001E-4</v>
      </c>
      <c r="E45" s="82">
        <f t="shared" si="0"/>
        <v>14249.107642208939</v>
      </c>
      <c r="F45" s="82">
        <f t="shared" si="1"/>
        <v>14249</v>
      </c>
      <c r="G45" s="82">
        <f t="shared" si="2"/>
        <v>4.7731999991810881E-2</v>
      </c>
      <c r="K45" s="82">
        <f t="shared" si="6"/>
        <v>4.7731999991810881E-2</v>
      </c>
      <c r="O45" s="82">
        <f t="shared" ca="1" si="3"/>
        <v>3.3640350000125885E-2</v>
      </c>
      <c r="Q45" s="85">
        <f t="shared" si="4"/>
        <v>43315.445699999997</v>
      </c>
      <c r="S45" s="82">
        <f t="shared" ca="1" si="5"/>
        <v>1.9857459948815573E-4</v>
      </c>
    </row>
    <row r="46" spans="1:19" s="82" customFormat="1" ht="12" customHeight="1" x14ac:dyDescent="0.2">
      <c r="A46" s="44" t="s">
        <v>62</v>
      </c>
      <c r="B46" s="45" t="s">
        <v>45</v>
      </c>
      <c r="C46" s="44">
        <v>58364.010499999997</v>
      </c>
      <c r="D46" s="44">
        <v>6.6E-3</v>
      </c>
      <c r="E46" s="82">
        <f t="shared" si="0"/>
        <v>14316.907891176088</v>
      </c>
      <c r="F46" s="82">
        <f t="shared" si="1"/>
        <v>14317</v>
      </c>
      <c r="G46" s="82">
        <f t="shared" si="2"/>
        <v>-4.0844000002834946E-2</v>
      </c>
      <c r="K46" s="82">
        <f t="shared" si="6"/>
        <v>-4.0844000002834946E-2</v>
      </c>
      <c r="O46" s="82">
        <f t="shared" ca="1" si="3"/>
        <v>3.3842059210193627E-2</v>
      </c>
      <c r="Q46" s="85">
        <f t="shared" si="4"/>
        <v>43345.510499999997</v>
      </c>
      <c r="S46" s="82">
        <f t="shared" ca="1" si="5"/>
        <v>5.5780074407720094E-3</v>
      </c>
    </row>
    <row r="47" spans="1:19" s="82" customFormat="1" ht="12" customHeight="1" x14ac:dyDescent="0.2">
      <c r="A47" s="48" t="s">
        <v>63</v>
      </c>
      <c r="B47" s="49" t="s">
        <v>47</v>
      </c>
      <c r="C47" s="50">
        <v>58502.216899999999</v>
      </c>
      <c r="D47" s="50" t="s">
        <v>64</v>
      </c>
      <c r="E47" s="82">
        <f t="shared" si="0"/>
        <v>14628.58228544624</v>
      </c>
      <c r="F47" s="82">
        <f t="shared" si="1"/>
        <v>14628.5</v>
      </c>
      <c r="G47" s="82">
        <f t="shared" si="2"/>
        <v>3.6487999997916631E-2</v>
      </c>
      <c r="K47" s="82">
        <f t="shared" si="6"/>
        <v>3.6487999997916631E-2</v>
      </c>
      <c r="O47" s="82">
        <f t="shared" ca="1" si="3"/>
        <v>3.4766065371018659E-2</v>
      </c>
      <c r="Q47" s="85">
        <f t="shared" si="4"/>
        <v>43483.716899999999</v>
      </c>
      <c r="S47" s="82">
        <f t="shared" ca="1" si="5"/>
        <v>2.9650588593102594E-6</v>
      </c>
    </row>
    <row r="48" spans="1:19" s="82" customFormat="1" ht="12" customHeight="1" x14ac:dyDescent="0.2">
      <c r="A48" s="88" t="s">
        <v>164</v>
      </c>
      <c r="B48" s="89" t="s">
        <v>45</v>
      </c>
      <c r="C48" s="77">
        <v>58543.676665999927</v>
      </c>
      <c r="D48" s="90">
        <v>7.3200000000000001E-4</v>
      </c>
      <c r="E48" s="82">
        <f t="shared" si="0"/>
        <v>14722.079746161586</v>
      </c>
      <c r="F48" s="82">
        <f t="shared" si="1"/>
        <v>14722</v>
      </c>
      <c r="G48" s="82">
        <f t="shared" si="2"/>
        <v>3.536199992231559E-2</v>
      </c>
      <c r="L48" s="82">
        <f t="shared" ref="L48:L53" si="7">+G48</f>
        <v>3.536199992231559E-2</v>
      </c>
      <c r="O48" s="82">
        <f t="shared" ca="1" si="3"/>
        <v>3.5043415534861802E-2</v>
      </c>
      <c r="Q48" s="85">
        <f t="shared" si="4"/>
        <v>43525.176665999927</v>
      </c>
      <c r="S48" s="82">
        <f t="shared" ca="1" si="5"/>
        <v>1.0149601192930533E-7</v>
      </c>
    </row>
    <row r="49" spans="1:19" s="82" customFormat="1" ht="12" customHeight="1" x14ac:dyDescent="0.2">
      <c r="A49" s="88" t="s">
        <v>164</v>
      </c>
      <c r="B49" s="89" t="s">
        <v>45</v>
      </c>
      <c r="C49" s="77">
        <v>58543.899561190046</v>
      </c>
      <c r="D49" s="90">
        <v>8.1599999999999999E-4</v>
      </c>
      <c r="E49" s="82">
        <f t="shared" si="0"/>
        <v>14722.582405397094</v>
      </c>
      <c r="F49" s="82">
        <f t="shared" si="1"/>
        <v>14722.5</v>
      </c>
      <c r="G49" s="82">
        <f t="shared" si="2"/>
        <v>3.6541190042044036E-2</v>
      </c>
      <c r="L49" s="82">
        <f t="shared" si="7"/>
        <v>3.6541190042044036E-2</v>
      </c>
      <c r="O49" s="82">
        <f t="shared" ca="1" si="3"/>
        <v>3.5044898690818185E-2</v>
      </c>
      <c r="Q49" s="85">
        <f t="shared" si="4"/>
        <v>43525.399561190046</v>
      </c>
      <c r="S49" s="82">
        <f t="shared" ca="1" si="5"/>
        <v>2.2388878077532823E-6</v>
      </c>
    </row>
    <row r="50" spans="1:19" s="82" customFormat="1" ht="12" customHeight="1" x14ac:dyDescent="0.2">
      <c r="A50" s="88" t="s">
        <v>164</v>
      </c>
      <c r="B50" s="89" t="s">
        <v>45</v>
      </c>
      <c r="C50" s="77">
        <v>58555.206145590171</v>
      </c>
      <c r="D50" s="90">
        <v>5.5000000000000003E-4</v>
      </c>
      <c r="E50" s="82">
        <f t="shared" si="0"/>
        <v>14748.080304511557</v>
      </c>
      <c r="F50" s="82">
        <f t="shared" si="1"/>
        <v>14748</v>
      </c>
      <c r="G50" s="82">
        <f t="shared" si="2"/>
        <v>3.5609590166131966E-2</v>
      </c>
      <c r="L50" s="82">
        <f t="shared" si="7"/>
        <v>3.5609590166131966E-2</v>
      </c>
      <c r="O50" s="82">
        <f t="shared" ca="1" si="3"/>
        <v>3.5120539644593586E-2</v>
      </c>
      <c r="Q50" s="85">
        <f t="shared" si="4"/>
        <v>43536.706145590171</v>
      </c>
      <c r="S50" s="82">
        <f t="shared" ca="1" si="5"/>
        <v>2.3917041261696123E-7</v>
      </c>
    </row>
    <row r="51" spans="1:19" s="82" customFormat="1" ht="12" customHeight="1" x14ac:dyDescent="0.2">
      <c r="A51" s="88" t="s">
        <v>164</v>
      </c>
      <c r="B51" s="89" t="s">
        <v>45</v>
      </c>
      <c r="C51" s="77">
        <v>58555.429149379954</v>
      </c>
      <c r="D51" s="90">
        <v>5.7700000000000004E-4</v>
      </c>
      <c r="E51" s="82">
        <f t="shared" si="0"/>
        <v>14748.583208654205</v>
      </c>
      <c r="F51" s="82">
        <f t="shared" si="1"/>
        <v>14748.5</v>
      </c>
      <c r="G51" s="82">
        <f t="shared" si="2"/>
        <v>3.6897379948641174E-2</v>
      </c>
      <c r="L51" s="82">
        <f t="shared" si="7"/>
        <v>3.6897379948641174E-2</v>
      </c>
      <c r="O51" s="82">
        <f t="shared" ca="1" si="3"/>
        <v>3.5122022800549969E-2</v>
      </c>
      <c r="Q51" s="85">
        <f t="shared" si="4"/>
        <v>43536.929149379954</v>
      </c>
      <c r="S51" s="82">
        <f t="shared" ca="1" si="5"/>
        <v>3.1518930032785341E-6</v>
      </c>
    </row>
    <row r="52" spans="1:19" s="82" customFormat="1" ht="12" customHeight="1" x14ac:dyDescent="0.2">
      <c r="A52" s="88" t="s">
        <v>164</v>
      </c>
      <c r="B52" s="89" t="s">
        <v>45</v>
      </c>
      <c r="C52" s="77">
        <v>58568.066135509871</v>
      </c>
      <c r="D52" s="90">
        <v>7.85E-4</v>
      </c>
      <c r="E52" s="82">
        <f t="shared" si="0"/>
        <v>14777.081346203857</v>
      </c>
      <c r="F52" s="82">
        <f t="shared" si="1"/>
        <v>14777</v>
      </c>
      <c r="G52" s="82">
        <f t="shared" si="2"/>
        <v>3.6071509864996187E-2</v>
      </c>
      <c r="L52" s="82">
        <f t="shared" si="7"/>
        <v>3.6071509864996187E-2</v>
      </c>
      <c r="O52" s="82">
        <f t="shared" ca="1" si="3"/>
        <v>3.5206562690063656E-2</v>
      </c>
      <c r="Q52" s="85">
        <f t="shared" si="4"/>
        <v>43549.566135509871</v>
      </c>
      <c r="S52" s="82">
        <f t="shared" ca="1" si="5"/>
        <v>7.4813361542376746E-7</v>
      </c>
    </row>
    <row r="53" spans="1:19" s="82" customFormat="1" ht="12" customHeight="1" x14ac:dyDescent="0.2">
      <c r="A53" s="88" t="s">
        <v>164</v>
      </c>
      <c r="B53" s="89" t="s">
        <v>45</v>
      </c>
      <c r="C53" s="77">
        <v>58568.288127589971</v>
      </c>
      <c r="D53" s="90">
        <v>6.6699999999999995E-4</v>
      </c>
      <c r="E53" s="82">
        <f t="shared" ref="E53:E88" si="8">+(C53-C$7)/C$8</f>
        <v>14777.581968802362</v>
      </c>
      <c r="F53" s="82">
        <f t="shared" ref="F53:F84" si="9">ROUND(2*E53,0)/2</f>
        <v>14777.5</v>
      </c>
      <c r="G53" s="82">
        <f t="shared" ref="G53:G84" si="10">+C53-(C$7+F53*C$8)</f>
        <v>3.6347589964861982E-2</v>
      </c>
      <c r="L53" s="82">
        <f t="shared" si="7"/>
        <v>3.6347589964861982E-2</v>
      </c>
      <c r="O53" s="82">
        <f t="shared" ref="O53:O88" ca="1" si="11">+C$11+C$12*$F53</f>
        <v>3.5208045846020032E-2</v>
      </c>
      <c r="Q53" s="85">
        <f t="shared" ref="Q53:Q88" si="12">+C53-15018.5</f>
        <v>43549.788127589971</v>
      </c>
      <c r="S53" s="82">
        <f t="shared" ref="S53:S88" ca="1" si="13">+(O53-G53)^2</f>
        <v>1.298560798787275E-6</v>
      </c>
    </row>
    <row r="54" spans="1:19" s="82" customFormat="1" ht="12" customHeight="1" x14ac:dyDescent="0.2">
      <c r="A54" s="51" t="s">
        <v>65</v>
      </c>
      <c r="B54" s="52" t="s">
        <v>47</v>
      </c>
      <c r="C54" s="53">
        <v>59207.277399999999</v>
      </c>
      <c r="D54" s="53" t="s">
        <v>60</v>
      </c>
      <c r="E54" s="82">
        <f t="shared" si="8"/>
        <v>16218.590449042913</v>
      </c>
      <c r="F54" s="82">
        <f t="shared" si="9"/>
        <v>16218.5</v>
      </c>
      <c r="G54" s="82">
        <f t="shared" si="10"/>
        <v>4.0107999993779231E-2</v>
      </c>
      <c r="K54" s="82">
        <f t="shared" ref="K54:K66" si="14">+G54</f>
        <v>4.0107999993779231E-2</v>
      </c>
      <c r="O54" s="82">
        <f t="shared" ca="1" si="11"/>
        <v>3.9482501312308536E-2</v>
      </c>
      <c r="Q54" s="85">
        <f t="shared" si="12"/>
        <v>44188.777399999999</v>
      </c>
      <c r="S54" s="82">
        <f t="shared" ca="1" si="13"/>
        <v>3.9124860052157734E-7</v>
      </c>
    </row>
    <row r="55" spans="1:19" s="82" customFormat="1" ht="12" customHeight="1" x14ac:dyDescent="0.2">
      <c r="A55" s="51" t="s">
        <v>65</v>
      </c>
      <c r="B55" s="52" t="s">
        <v>47</v>
      </c>
      <c r="C55" s="53">
        <v>59207.278100000003</v>
      </c>
      <c r="D55" s="53" t="s">
        <v>58</v>
      </c>
      <c r="E55" s="82">
        <f t="shared" si="8"/>
        <v>16218.592027638964</v>
      </c>
      <c r="F55" s="82">
        <f t="shared" si="9"/>
        <v>16218.5</v>
      </c>
      <c r="G55" s="82">
        <f t="shared" si="10"/>
        <v>4.0807999997923616E-2</v>
      </c>
      <c r="K55" s="82">
        <f t="shared" si="14"/>
        <v>4.0807999997923616E-2</v>
      </c>
      <c r="O55" s="82">
        <f t="shared" ca="1" si="11"/>
        <v>3.9482501312308536E-2</v>
      </c>
      <c r="Q55" s="85">
        <f t="shared" si="12"/>
        <v>44188.778100000003</v>
      </c>
      <c r="S55" s="82">
        <f t="shared" ca="1" si="13"/>
        <v>1.7569467655673045E-6</v>
      </c>
    </row>
    <row r="56" spans="1:19" s="82" customFormat="1" ht="12" customHeight="1" x14ac:dyDescent="0.2">
      <c r="A56" s="51" t="s">
        <v>65</v>
      </c>
      <c r="B56" s="52" t="s">
        <v>47</v>
      </c>
      <c r="C56" s="53">
        <v>59207.279799999997</v>
      </c>
      <c r="D56" s="53" t="s">
        <v>66</v>
      </c>
      <c r="E56" s="82">
        <f t="shared" si="8"/>
        <v>16218.595861372194</v>
      </c>
      <c r="F56" s="82">
        <f t="shared" si="9"/>
        <v>16218.5</v>
      </c>
      <c r="G56" s="82">
        <f t="shared" si="10"/>
        <v>4.2507999991357792E-2</v>
      </c>
      <c r="K56" s="82">
        <f t="shared" si="14"/>
        <v>4.2507999991357792E-2</v>
      </c>
      <c r="O56" s="82">
        <f t="shared" ca="1" si="11"/>
        <v>3.9482501312308536E-2</v>
      </c>
      <c r="Q56" s="85">
        <f t="shared" si="12"/>
        <v>44188.779799999997</v>
      </c>
      <c r="S56" s="82">
        <f t="shared" ca="1" si="13"/>
        <v>9.153642256928791E-6</v>
      </c>
    </row>
    <row r="57" spans="1:19" s="82" customFormat="1" ht="12" customHeight="1" x14ac:dyDescent="0.2">
      <c r="A57" s="73" t="s">
        <v>162</v>
      </c>
      <c r="B57" s="74" t="s">
        <v>47</v>
      </c>
      <c r="C57" s="75">
        <v>59256.052699999884</v>
      </c>
      <c r="D57" s="76" t="s">
        <v>60</v>
      </c>
      <c r="E57" s="82">
        <f t="shared" si="8"/>
        <v>16328.585442638063</v>
      </c>
      <c r="F57" s="82">
        <f t="shared" si="9"/>
        <v>16328.5</v>
      </c>
      <c r="G57" s="82">
        <f t="shared" si="10"/>
        <v>3.7887999882514123E-2</v>
      </c>
      <c r="K57" s="82">
        <f t="shared" si="14"/>
        <v>3.7887999882514123E-2</v>
      </c>
      <c r="O57" s="82">
        <f t="shared" ca="1" si="11"/>
        <v>3.9808795622712237E-2</v>
      </c>
      <c r="Q57" s="85">
        <f t="shared" si="12"/>
        <v>44237.552699999884</v>
      </c>
      <c r="S57" s="82">
        <f t="shared" ca="1" si="13"/>
        <v>3.6894562755632209E-6</v>
      </c>
    </row>
    <row r="58" spans="1:19" s="82" customFormat="1" ht="12" customHeight="1" x14ac:dyDescent="0.2">
      <c r="A58" s="73" t="s">
        <v>162</v>
      </c>
      <c r="B58" s="74" t="s">
        <v>47</v>
      </c>
      <c r="C58" s="75">
        <v>59283.990100000054</v>
      </c>
      <c r="D58" s="76" t="s">
        <v>66</v>
      </c>
      <c r="E58" s="82">
        <f t="shared" si="8"/>
        <v>16391.588112720896</v>
      </c>
      <c r="F58" s="82">
        <f t="shared" si="9"/>
        <v>16391.5</v>
      </c>
      <c r="G58" s="82">
        <f t="shared" si="10"/>
        <v>3.9072000050509814E-2</v>
      </c>
      <c r="K58" s="82">
        <f t="shared" si="14"/>
        <v>3.9072000050509814E-2</v>
      </c>
      <c r="O58" s="82">
        <f t="shared" ca="1" si="11"/>
        <v>3.9995673273216174E-2</v>
      </c>
      <c r="Q58" s="85">
        <f t="shared" si="12"/>
        <v>44265.490100000054</v>
      </c>
      <c r="S58" s="82">
        <f t="shared" ca="1" si="13"/>
        <v>8.5317222234475318E-7</v>
      </c>
    </row>
    <row r="59" spans="1:19" s="82" customFormat="1" ht="12" customHeight="1" x14ac:dyDescent="0.2">
      <c r="A59" s="73" t="s">
        <v>162</v>
      </c>
      <c r="B59" s="74" t="s">
        <v>47</v>
      </c>
      <c r="C59" s="75">
        <v>59283.99049999984</v>
      </c>
      <c r="D59" s="76" t="s">
        <v>60</v>
      </c>
      <c r="E59" s="82">
        <f t="shared" si="8"/>
        <v>16391.589014775294</v>
      </c>
      <c r="F59" s="82">
        <f t="shared" si="9"/>
        <v>16391.5</v>
      </c>
      <c r="G59" s="82">
        <f t="shared" si="10"/>
        <v>3.9471999836678151E-2</v>
      </c>
      <c r="K59" s="82">
        <f t="shared" si="14"/>
        <v>3.9471999836678151E-2</v>
      </c>
      <c r="O59" s="82">
        <f t="shared" ca="1" si="11"/>
        <v>3.9995673273216174E-2</v>
      </c>
      <c r="Q59" s="85">
        <f t="shared" si="12"/>
        <v>44265.49049999984</v>
      </c>
      <c r="S59" s="82">
        <f t="shared" ca="1" si="13"/>
        <v>2.742338681355431E-7</v>
      </c>
    </row>
    <row r="60" spans="1:19" s="82" customFormat="1" ht="12" customHeight="1" x14ac:dyDescent="0.2">
      <c r="A60" s="73" t="s">
        <v>162</v>
      </c>
      <c r="B60" s="74" t="s">
        <v>47</v>
      </c>
      <c r="C60" s="75">
        <v>59283.991100000218</v>
      </c>
      <c r="D60" s="76" t="s">
        <v>58</v>
      </c>
      <c r="E60" s="82">
        <f t="shared" si="8"/>
        <v>16391.590367858465</v>
      </c>
      <c r="F60" s="82">
        <f t="shared" si="9"/>
        <v>16391.5</v>
      </c>
      <c r="G60" s="82">
        <f t="shared" si="10"/>
        <v>4.0072000214422587E-2</v>
      </c>
      <c r="K60" s="82">
        <f t="shared" si="14"/>
        <v>4.0072000214422587E-2</v>
      </c>
      <c r="O60" s="82">
        <f t="shared" ca="1" si="11"/>
        <v>3.9995673273216174E-2</v>
      </c>
      <c r="Q60" s="85">
        <f t="shared" si="12"/>
        <v>44265.491100000218</v>
      </c>
      <c r="S60" s="82">
        <f t="shared" ca="1" si="13"/>
        <v>5.8258019539272237E-9</v>
      </c>
    </row>
    <row r="61" spans="1:19" s="82" customFormat="1" ht="12" customHeight="1" x14ac:dyDescent="0.2">
      <c r="A61" s="73" t="s">
        <v>162</v>
      </c>
      <c r="B61" s="74" t="s">
        <v>47</v>
      </c>
      <c r="C61" s="75">
        <v>59287.984499999788</v>
      </c>
      <c r="D61" s="76" t="s">
        <v>58</v>
      </c>
      <c r="E61" s="82">
        <f t="shared" si="8"/>
        <v>16400.596032762151</v>
      </c>
      <c r="F61" s="82">
        <f t="shared" si="9"/>
        <v>16400.5</v>
      </c>
      <c r="G61" s="82">
        <f t="shared" si="10"/>
        <v>4.2583999784255866E-2</v>
      </c>
      <c r="K61" s="82">
        <f t="shared" si="14"/>
        <v>4.2583999784255866E-2</v>
      </c>
      <c r="O61" s="82">
        <f t="shared" ca="1" si="11"/>
        <v>4.0022370080431025E-2</v>
      </c>
      <c r="Q61" s="85">
        <f t="shared" si="12"/>
        <v>44269.484499999788</v>
      </c>
      <c r="S61" s="82">
        <f t="shared" ca="1" si="13"/>
        <v>6.5619467395177447E-6</v>
      </c>
    </row>
    <row r="62" spans="1:19" s="82" customFormat="1" ht="12" customHeight="1" x14ac:dyDescent="0.2">
      <c r="A62" s="73" t="s">
        <v>162</v>
      </c>
      <c r="B62" s="74" t="s">
        <v>47</v>
      </c>
      <c r="C62" s="75">
        <v>59287.984499999788</v>
      </c>
      <c r="D62" s="76" t="s">
        <v>163</v>
      </c>
      <c r="E62" s="82">
        <f t="shared" si="8"/>
        <v>16400.596032762151</v>
      </c>
      <c r="F62" s="82">
        <f t="shared" si="9"/>
        <v>16400.5</v>
      </c>
      <c r="G62" s="82">
        <f t="shared" si="10"/>
        <v>4.2583999784255866E-2</v>
      </c>
      <c r="K62" s="82">
        <f t="shared" si="14"/>
        <v>4.2583999784255866E-2</v>
      </c>
      <c r="O62" s="82">
        <f t="shared" ca="1" si="11"/>
        <v>4.0022370080431025E-2</v>
      </c>
      <c r="Q62" s="85">
        <f t="shared" si="12"/>
        <v>44269.484499999788</v>
      </c>
      <c r="S62" s="82">
        <f t="shared" ca="1" si="13"/>
        <v>6.5619467395177447E-6</v>
      </c>
    </row>
    <row r="63" spans="1:19" s="82" customFormat="1" ht="12" customHeight="1" x14ac:dyDescent="0.2">
      <c r="A63" s="73" t="s">
        <v>162</v>
      </c>
      <c r="B63" s="74" t="s">
        <v>47</v>
      </c>
      <c r="C63" s="75">
        <v>59287.984600000083</v>
      </c>
      <c r="D63" s="76" t="s">
        <v>60</v>
      </c>
      <c r="E63" s="82">
        <f t="shared" si="8"/>
        <v>16400.596258276539</v>
      </c>
      <c r="F63" s="82">
        <f t="shared" si="9"/>
        <v>16400.5</v>
      </c>
      <c r="G63" s="82">
        <f t="shared" si="10"/>
        <v>4.2684000080043916E-2</v>
      </c>
      <c r="K63" s="82">
        <f t="shared" si="14"/>
        <v>4.2684000080043916E-2</v>
      </c>
      <c r="O63" s="82">
        <f t="shared" ca="1" si="11"/>
        <v>4.0022370080431025E-2</v>
      </c>
      <c r="Q63" s="85">
        <f t="shared" si="12"/>
        <v>44269.484600000083</v>
      </c>
      <c r="S63" s="82">
        <f t="shared" ca="1" si="13"/>
        <v>7.0842742548393191E-6</v>
      </c>
    </row>
    <row r="64" spans="1:19" s="82" customFormat="1" ht="12" customHeight="1" x14ac:dyDescent="0.2">
      <c r="A64" s="73" t="s">
        <v>162</v>
      </c>
      <c r="B64" s="74" t="s">
        <v>45</v>
      </c>
      <c r="C64" s="75">
        <v>59289.972899999935</v>
      </c>
      <c r="D64" s="76" t="s">
        <v>163</v>
      </c>
      <c r="E64" s="82">
        <f t="shared" si="8"/>
        <v>16405.080147576027</v>
      </c>
      <c r="F64" s="82">
        <f t="shared" si="9"/>
        <v>16405</v>
      </c>
      <c r="G64" s="82">
        <f t="shared" si="10"/>
        <v>3.5539999931643251E-2</v>
      </c>
      <c r="K64" s="82">
        <f t="shared" si="14"/>
        <v>3.5539999931643251E-2</v>
      </c>
      <c r="O64" s="82">
        <f t="shared" ca="1" si="11"/>
        <v>4.0035718484038446E-2</v>
      </c>
      <c r="Q64" s="85">
        <f t="shared" si="12"/>
        <v>44271.472899999935</v>
      </c>
      <c r="S64" s="82">
        <f t="shared" ca="1" si="13"/>
        <v>2.0211485302350345E-5</v>
      </c>
    </row>
    <row r="65" spans="1:19" s="82" customFormat="1" ht="12" customHeight="1" x14ac:dyDescent="0.2">
      <c r="A65" s="73" t="s">
        <v>162</v>
      </c>
      <c r="B65" s="74" t="s">
        <v>45</v>
      </c>
      <c r="C65" s="75">
        <v>59289.977700000163</v>
      </c>
      <c r="D65" s="76" t="s">
        <v>60</v>
      </c>
      <c r="E65" s="82">
        <f t="shared" si="8"/>
        <v>16405.090972235113</v>
      </c>
      <c r="F65" s="82">
        <f t="shared" si="9"/>
        <v>16405</v>
      </c>
      <c r="G65" s="82">
        <f t="shared" si="10"/>
        <v>4.0340000159631018E-2</v>
      </c>
      <c r="K65" s="82">
        <f t="shared" si="14"/>
        <v>4.0340000159631018E-2</v>
      </c>
      <c r="O65" s="82">
        <f t="shared" ca="1" si="11"/>
        <v>4.0035718484038446E-2</v>
      </c>
      <c r="Q65" s="85">
        <f t="shared" si="12"/>
        <v>44271.477700000163</v>
      </c>
      <c r="S65" s="82">
        <f t="shared" ca="1" si="13"/>
        <v>9.2587338101422907E-8</v>
      </c>
    </row>
    <row r="66" spans="1:19" s="82" customFormat="1" ht="12" customHeight="1" x14ac:dyDescent="0.2">
      <c r="A66" s="73" t="s">
        <v>162</v>
      </c>
      <c r="B66" s="74" t="s">
        <v>45</v>
      </c>
      <c r="C66" s="75">
        <v>59289.978099999949</v>
      </c>
      <c r="D66" s="76" t="s">
        <v>58</v>
      </c>
      <c r="E66" s="82">
        <f t="shared" si="8"/>
        <v>16405.091874289512</v>
      </c>
      <c r="F66" s="82">
        <f t="shared" si="9"/>
        <v>16405</v>
      </c>
      <c r="G66" s="82">
        <f t="shared" si="10"/>
        <v>4.0739999945799354E-2</v>
      </c>
      <c r="K66" s="82">
        <f t="shared" si="14"/>
        <v>4.0739999945799354E-2</v>
      </c>
      <c r="O66" s="82">
        <f t="shared" ca="1" si="11"/>
        <v>4.0035718484038446E-2</v>
      </c>
      <c r="Q66" s="85">
        <f t="shared" si="12"/>
        <v>44271.478099999949</v>
      </c>
      <c r="S66" s="82">
        <f t="shared" ca="1" si="13"/>
        <v>4.9601237738008179E-7</v>
      </c>
    </row>
    <row r="67" spans="1:19" s="82" customFormat="1" ht="12" customHeight="1" x14ac:dyDescent="0.2">
      <c r="A67" s="88" t="s">
        <v>164</v>
      </c>
      <c r="B67" s="89" t="s">
        <v>45</v>
      </c>
      <c r="C67" s="77">
        <v>59526.329324540216</v>
      </c>
      <c r="D67" s="90">
        <v>6.1499999999999999E-4</v>
      </c>
      <c r="E67" s="82">
        <f t="shared" si="8"/>
        <v>16938.096313617905</v>
      </c>
      <c r="F67" s="82">
        <f t="shared" si="9"/>
        <v>16938</v>
      </c>
      <c r="G67" s="82">
        <f t="shared" si="10"/>
        <v>4.2708540211606305E-2</v>
      </c>
      <c r="L67" s="82">
        <f>+G67</f>
        <v>4.2708540211606305E-2</v>
      </c>
      <c r="O67" s="82">
        <f t="shared" ca="1" si="11"/>
        <v>4.1616762733540022E-2</v>
      </c>
      <c r="Q67" s="85">
        <f t="shared" si="12"/>
        <v>44507.829324540216</v>
      </c>
      <c r="S67" s="82">
        <f t="shared" ca="1" si="13"/>
        <v>1.1919780616127734E-6</v>
      </c>
    </row>
    <row r="68" spans="1:19" s="82" customFormat="1" ht="12" customHeight="1" x14ac:dyDescent="0.2">
      <c r="A68" s="88" t="s">
        <v>164</v>
      </c>
      <c r="B68" s="89" t="s">
        <v>45</v>
      </c>
      <c r="C68" s="77">
        <v>59526.550801740028</v>
      </c>
      <c r="D68" s="90">
        <v>7.0500000000000001E-4</v>
      </c>
      <c r="E68" s="82">
        <f t="shared" si="8"/>
        <v>16938.595775090715</v>
      </c>
      <c r="F68" s="82">
        <f t="shared" si="9"/>
        <v>16938.5</v>
      </c>
      <c r="G68" s="82">
        <f t="shared" si="10"/>
        <v>4.2469740023079794E-2</v>
      </c>
      <c r="L68" s="82">
        <f>+G68</f>
        <v>4.2469740023079794E-2</v>
      </c>
      <c r="O68" s="82">
        <f t="shared" ca="1" si="11"/>
        <v>4.1618245889496405E-2</v>
      </c>
      <c r="Q68" s="85">
        <f t="shared" si="12"/>
        <v>44508.050801740028</v>
      </c>
      <c r="S68" s="82">
        <f t="shared" ca="1" si="13"/>
        <v>7.2504225952692578E-7</v>
      </c>
    </row>
    <row r="69" spans="1:19" s="82" customFormat="1" ht="12" customHeight="1" x14ac:dyDescent="0.2">
      <c r="A69" s="88" t="s">
        <v>164</v>
      </c>
      <c r="B69" s="89" t="s">
        <v>45</v>
      </c>
      <c r="C69" s="77">
        <v>59537.415388079826</v>
      </c>
      <c r="D69" s="90">
        <v>6.7000000000000002E-4</v>
      </c>
      <c r="E69" s="82">
        <f t="shared" si="8"/>
        <v>16963.09690793588</v>
      </c>
      <c r="F69" s="82">
        <f t="shared" si="9"/>
        <v>16963</v>
      </c>
      <c r="G69" s="82">
        <f t="shared" si="10"/>
        <v>4.2972079827450216E-2</v>
      </c>
      <c r="L69" s="82">
        <f>+G69</f>
        <v>4.2972079827450216E-2</v>
      </c>
      <c r="O69" s="82">
        <f t="shared" ca="1" si="11"/>
        <v>4.1690920531359046E-2</v>
      </c>
      <c r="Q69" s="85">
        <f t="shared" si="12"/>
        <v>44518.915388079826</v>
      </c>
      <c r="S69" s="82">
        <f t="shared" ca="1" si="13"/>
        <v>1.6413691419608206E-6</v>
      </c>
    </row>
    <row r="70" spans="1:19" s="82" customFormat="1" ht="12" customHeight="1" x14ac:dyDescent="0.2">
      <c r="A70" s="88" t="s">
        <v>164</v>
      </c>
      <c r="B70" s="89" t="s">
        <v>45</v>
      </c>
      <c r="C70" s="77">
        <v>59537.636159940157</v>
      </c>
      <c r="D70" s="90">
        <v>6.9399999999999996E-4</v>
      </c>
      <c r="E70" s="82">
        <f t="shared" si="8"/>
        <v>16963.594778771389</v>
      </c>
      <c r="F70" s="82">
        <f t="shared" si="9"/>
        <v>16963.5</v>
      </c>
      <c r="G70" s="82">
        <f t="shared" si="10"/>
        <v>4.2027940158732235E-2</v>
      </c>
      <c r="L70" s="82">
        <f>+G70</f>
        <v>4.2027940158732235E-2</v>
      </c>
      <c r="O70" s="82">
        <f t="shared" ca="1" si="11"/>
        <v>4.1692403687315423E-2</v>
      </c>
      <c r="Q70" s="85">
        <f t="shared" si="12"/>
        <v>44519.136159940157</v>
      </c>
      <c r="S70" s="82">
        <f t="shared" ca="1" si="13"/>
        <v>1.1258472365084557E-7</v>
      </c>
    </row>
    <row r="71" spans="1:19" s="82" customFormat="1" ht="12" customHeight="1" x14ac:dyDescent="0.2">
      <c r="A71" s="73" t="s">
        <v>162</v>
      </c>
      <c r="B71" s="74" t="s">
        <v>47</v>
      </c>
      <c r="C71" s="75">
        <v>59548.276999999769</v>
      </c>
      <c r="D71" s="76" t="s">
        <v>60</v>
      </c>
      <c r="E71" s="82">
        <f t="shared" si="8"/>
        <v>16987.591333056178</v>
      </c>
      <c r="F71" s="82">
        <f t="shared" si="9"/>
        <v>16987.5</v>
      </c>
      <c r="G71" s="82">
        <f t="shared" si="10"/>
        <v>4.0499999769963324E-2</v>
      </c>
      <c r="K71" s="82">
        <f>+G71</f>
        <v>4.0499999769963324E-2</v>
      </c>
      <c r="O71" s="82">
        <f t="shared" ca="1" si="11"/>
        <v>4.1763595173221688E-2</v>
      </c>
      <c r="Q71" s="85">
        <f t="shared" si="12"/>
        <v>44529.776999999769</v>
      </c>
      <c r="S71" s="82">
        <f t="shared" ca="1" si="13"/>
        <v>1.5966733431356664E-6</v>
      </c>
    </row>
    <row r="72" spans="1:19" s="82" customFormat="1" ht="12" customHeight="1" x14ac:dyDescent="0.2">
      <c r="A72" s="88" t="s">
        <v>164</v>
      </c>
      <c r="B72" s="89" t="s">
        <v>45</v>
      </c>
      <c r="C72" s="77">
        <v>59550.052178100217</v>
      </c>
      <c r="D72" s="90">
        <v>7.0500000000000001E-4</v>
      </c>
      <c r="E72" s="82">
        <f t="shared" si="8"/>
        <v>16991.594603231646</v>
      </c>
      <c r="F72" s="82">
        <f t="shared" si="9"/>
        <v>16991.5</v>
      </c>
      <c r="G72" s="82">
        <f t="shared" si="10"/>
        <v>4.1950100217945874E-2</v>
      </c>
      <c r="L72" s="82">
        <f>+G72</f>
        <v>4.1950100217945874E-2</v>
      </c>
      <c r="O72" s="82">
        <f t="shared" ca="1" si="11"/>
        <v>4.1775460420872733E-2</v>
      </c>
      <c r="Q72" s="85">
        <f t="shared" si="12"/>
        <v>44531.552178100217</v>
      </c>
      <c r="S72" s="82">
        <f t="shared" ca="1" si="13"/>
        <v>3.049905872174782E-8</v>
      </c>
    </row>
    <row r="73" spans="1:19" s="82" customFormat="1" ht="12" customHeight="1" x14ac:dyDescent="0.2">
      <c r="A73" s="73" t="s">
        <v>162</v>
      </c>
      <c r="B73" s="74" t="s">
        <v>45</v>
      </c>
      <c r="C73" s="75">
        <v>59550.273500000127</v>
      </c>
      <c r="D73" s="76" t="s">
        <v>58</v>
      </c>
      <c r="E73" s="82">
        <f t="shared" si="8"/>
        <v>16992.093714481871</v>
      </c>
      <c r="F73" s="82">
        <f t="shared" si="9"/>
        <v>16992</v>
      </c>
      <c r="G73" s="82">
        <f t="shared" si="10"/>
        <v>4.1556000127457082E-2</v>
      </c>
      <c r="K73" s="82">
        <f>+G73</f>
        <v>4.1556000127457082E-2</v>
      </c>
      <c r="O73" s="82">
        <f t="shared" ca="1" si="11"/>
        <v>4.1776943576829109E-2</v>
      </c>
      <c r="Q73" s="85">
        <f t="shared" si="12"/>
        <v>44531.773500000127</v>
      </c>
      <c r="S73" s="82">
        <f t="shared" ca="1" si="13"/>
        <v>4.8816007820409422E-8</v>
      </c>
    </row>
    <row r="74" spans="1:19" s="82" customFormat="1" ht="12" customHeight="1" x14ac:dyDescent="0.2">
      <c r="A74" s="88" t="s">
        <v>164</v>
      </c>
      <c r="B74" s="89" t="s">
        <v>45</v>
      </c>
      <c r="C74" s="77">
        <v>59550.274672130123</v>
      </c>
      <c r="D74" s="90">
        <v>6.9999999999999999E-4</v>
      </c>
      <c r="E74" s="82">
        <f t="shared" si="8"/>
        <v>16992.096357795832</v>
      </c>
      <c r="F74" s="82">
        <f t="shared" si="9"/>
        <v>16992</v>
      </c>
      <c r="G74" s="82">
        <f t="shared" si="10"/>
        <v>4.2728130123578012E-2</v>
      </c>
      <c r="L74" s="82">
        <f>+G74</f>
        <v>4.2728130123578012E-2</v>
      </c>
      <c r="O74" s="82">
        <f t="shared" ca="1" si="11"/>
        <v>4.1776943576829109E-2</v>
      </c>
      <c r="Q74" s="85">
        <f t="shared" si="12"/>
        <v>44531.774672130123</v>
      </c>
      <c r="S74" s="82">
        <f t="shared" ca="1" si="13"/>
        <v>9.0475584671610265E-7</v>
      </c>
    </row>
    <row r="75" spans="1:19" s="82" customFormat="1" ht="12" customHeight="1" x14ac:dyDescent="0.2">
      <c r="A75" s="73" t="s">
        <v>162</v>
      </c>
      <c r="B75" s="74" t="s">
        <v>47</v>
      </c>
      <c r="C75" s="75">
        <v>59552.26500000013</v>
      </c>
      <c r="D75" s="76" t="s">
        <v>60</v>
      </c>
      <c r="E75" s="82">
        <f t="shared" si="8"/>
        <v>16996.584820220753</v>
      </c>
      <c r="F75" s="82">
        <f t="shared" si="9"/>
        <v>16996.5</v>
      </c>
      <c r="G75" s="82">
        <f t="shared" si="10"/>
        <v>3.7612000131048262E-2</v>
      </c>
      <c r="K75" s="82">
        <f>+G75</f>
        <v>3.7612000131048262E-2</v>
      </c>
      <c r="O75" s="82">
        <f t="shared" ca="1" si="11"/>
        <v>4.1790291980436538E-2</v>
      </c>
      <c r="Q75" s="85">
        <f t="shared" si="12"/>
        <v>44533.76500000013</v>
      </c>
      <c r="S75" s="82">
        <f t="shared" ca="1" si="13"/>
        <v>1.7458122778664498E-5</v>
      </c>
    </row>
    <row r="76" spans="1:19" s="82" customFormat="1" ht="12" customHeight="1" x14ac:dyDescent="0.2">
      <c r="A76" s="73" t="s">
        <v>162</v>
      </c>
      <c r="B76" s="74" t="s">
        <v>47</v>
      </c>
      <c r="C76" s="75">
        <v>59552.265199999791</v>
      </c>
      <c r="D76" s="76" t="s">
        <v>58</v>
      </c>
      <c r="E76" s="82">
        <f t="shared" si="8"/>
        <v>16996.585271247426</v>
      </c>
      <c r="F76" s="82">
        <f t="shared" si="9"/>
        <v>16996.5</v>
      </c>
      <c r="G76" s="82">
        <f t="shared" si="10"/>
        <v>3.7811999791301787E-2</v>
      </c>
      <c r="K76" s="82">
        <f>+G76</f>
        <v>3.7811999791301787E-2</v>
      </c>
      <c r="O76" s="82">
        <f t="shared" ca="1" si="11"/>
        <v>4.1790291980436538E-2</v>
      </c>
      <c r="Q76" s="85">
        <f t="shared" si="12"/>
        <v>44533.765199999791</v>
      </c>
      <c r="S76" s="82">
        <f t="shared" ca="1" si="13"/>
        <v>1.5826808742130567E-5</v>
      </c>
    </row>
    <row r="77" spans="1:19" s="82" customFormat="1" ht="12" customHeight="1" x14ac:dyDescent="0.2">
      <c r="A77" s="88" t="s">
        <v>164</v>
      </c>
      <c r="B77" s="89" t="s">
        <v>45</v>
      </c>
      <c r="C77" s="77">
        <v>59552.712385970168</v>
      </c>
      <c r="D77" s="90">
        <v>1.0629999999999999E-3</v>
      </c>
      <c r="E77" s="82">
        <f t="shared" si="8"/>
        <v>16997.593736965682</v>
      </c>
      <c r="F77" s="82">
        <f t="shared" si="9"/>
        <v>16997.5</v>
      </c>
      <c r="G77" s="82">
        <f t="shared" si="10"/>
        <v>4.1565970168448985E-2</v>
      </c>
      <c r="L77" s="82">
        <f>+G77</f>
        <v>4.1565970168448985E-2</v>
      </c>
      <c r="O77" s="82">
        <f t="shared" ca="1" si="11"/>
        <v>4.1793258292349297E-2</v>
      </c>
      <c r="Q77" s="85">
        <f t="shared" si="12"/>
        <v>44534.212385970168</v>
      </c>
      <c r="S77" s="82">
        <f t="shared" ca="1" si="13"/>
        <v>5.1659891266123904E-8</v>
      </c>
    </row>
    <row r="78" spans="1:19" s="82" customFormat="1" ht="12" customHeight="1" x14ac:dyDescent="0.2">
      <c r="A78" s="88" t="s">
        <v>164</v>
      </c>
      <c r="B78" s="89" t="s">
        <v>45</v>
      </c>
      <c r="C78" s="77">
        <v>59552.934972090181</v>
      </c>
      <c r="D78" s="90">
        <v>5.2999999999999998E-4</v>
      </c>
      <c r="E78" s="82">
        <f t="shared" si="8"/>
        <v>16998.095699205693</v>
      </c>
      <c r="F78" s="82">
        <f t="shared" si="9"/>
        <v>16998</v>
      </c>
      <c r="G78" s="82">
        <f t="shared" si="10"/>
        <v>4.2436090181581676E-2</v>
      </c>
      <c r="L78" s="82">
        <f>+G78</f>
        <v>4.2436090181581676E-2</v>
      </c>
      <c r="O78" s="82">
        <f t="shared" ca="1" si="11"/>
        <v>4.1794741448305681E-2</v>
      </c>
      <c r="Q78" s="85">
        <f t="shared" si="12"/>
        <v>44534.434972090181</v>
      </c>
      <c r="S78" s="82">
        <f t="shared" ca="1" si="13"/>
        <v>4.1132819767472388E-7</v>
      </c>
    </row>
    <row r="79" spans="1:19" s="82" customFormat="1" ht="12" customHeight="1" x14ac:dyDescent="0.2">
      <c r="A79" s="73" t="s">
        <v>162</v>
      </c>
      <c r="B79" s="74" t="s">
        <v>45</v>
      </c>
      <c r="C79" s="75">
        <v>59562.246600000188</v>
      </c>
      <c r="D79" s="76" t="s">
        <v>60</v>
      </c>
      <c r="E79" s="82">
        <f t="shared" si="8"/>
        <v>17019.09469772183</v>
      </c>
      <c r="F79" s="82">
        <f t="shared" si="9"/>
        <v>17019</v>
      </c>
      <c r="G79" s="82">
        <f t="shared" si="10"/>
        <v>4.199200018774718E-2</v>
      </c>
      <c r="K79" s="82">
        <f>+G79</f>
        <v>4.199200018774718E-2</v>
      </c>
      <c r="O79" s="82">
        <f t="shared" ca="1" si="11"/>
        <v>4.185703399847366E-2</v>
      </c>
      <c r="Q79" s="85">
        <f t="shared" si="12"/>
        <v>44543.746600000188</v>
      </c>
      <c r="S79" s="82">
        <f t="shared" ca="1" si="13"/>
        <v>1.8215872247015819E-8</v>
      </c>
    </row>
    <row r="80" spans="1:19" s="82" customFormat="1" ht="12" customHeight="1" x14ac:dyDescent="0.2">
      <c r="A80" s="73" t="s">
        <v>162</v>
      </c>
      <c r="B80" s="74" t="s">
        <v>45</v>
      </c>
      <c r="C80" s="75">
        <v>59562.246999999974</v>
      </c>
      <c r="D80" s="76" t="s">
        <v>58</v>
      </c>
      <c r="E80" s="82">
        <f t="shared" si="8"/>
        <v>17019.095599776228</v>
      </c>
      <c r="F80" s="82">
        <f t="shared" si="9"/>
        <v>17019</v>
      </c>
      <c r="G80" s="82">
        <f t="shared" si="10"/>
        <v>4.2391999973915517E-2</v>
      </c>
      <c r="K80" s="82">
        <f>+G80</f>
        <v>4.2391999973915517E-2</v>
      </c>
      <c r="O80" s="82">
        <f t="shared" ca="1" si="11"/>
        <v>4.185703399847366E-2</v>
      </c>
      <c r="Q80" s="85">
        <f t="shared" si="12"/>
        <v>44543.746999999974</v>
      </c>
      <c r="S80" s="82">
        <f t="shared" ca="1" si="13"/>
        <v>2.8618859488045817E-7</v>
      </c>
    </row>
    <row r="81" spans="1:19" s="82" customFormat="1" ht="12" customHeight="1" x14ac:dyDescent="0.2">
      <c r="A81" s="73" t="s">
        <v>162</v>
      </c>
      <c r="B81" s="74" t="s">
        <v>47</v>
      </c>
      <c r="C81" s="75">
        <v>59564.242000000086</v>
      </c>
      <c r="D81" s="76" t="s">
        <v>60</v>
      </c>
      <c r="E81" s="82">
        <f t="shared" si="8"/>
        <v>17023.594598495562</v>
      </c>
      <c r="F81" s="82">
        <f t="shared" si="9"/>
        <v>17023.5</v>
      </c>
      <c r="G81" s="82">
        <f t="shared" si="10"/>
        <v>4.1948000085540116E-2</v>
      </c>
      <c r="K81" s="82">
        <f>+G81</f>
        <v>4.1948000085540116E-2</v>
      </c>
      <c r="O81" s="82">
        <f t="shared" ca="1" si="11"/>
        <v>4.1870382402081081E-2</v>
      </c>
      <c r="Q81" s="85">
        <f t="shared" si="12"/>
        <v>44545.742000000086</v>
      </c>
      <c r="S81" s="82">
        <f t="shared" ca="1" si="13"/>
        <v>6.0245047855468728E-9</v>
      </c>
    </row>
    <row r="82" spans="1:19" s="82" customFormat="1" ht="12" customHeight="1" x14ac:dyDescent="0.2">
      <c r="A82" s="88" t="s">
        <v>164</v>
      </c>
      <c r="B82" s="89" t="s">
        <v>45</v>
      </c>
      <c r="C82" s="77">
        <v>59564.242283820175</v>
      </c>
      <c r="D82" s="90">
        <v>6.7199999999999996E-4</v>
      </c>
      <c r="E82" s="82">
        <f t="shared" si="8"/>
        <v>17023.595238548802</v>
      </c>
      <c r="F82" s="82">
        <f t="shared" si="9"/>
        <v>17023.5</v>
      </c>
      <c r="G82" s="82">
        <f t="shared" si="10"/>
        <v>4.2231820174492896E-2</v>
      </c>
      <c r="L82" s="82">
        <f>+G82</f>
        <v>4.2231820174492896E-2</v>
      </c>
      <c r="O82" s="82">
        <f t="shared" ca="1" si="11"/>
        <v>4.1870382402081081E-2</v>
      </c>
      <c r="Q82" s="85">
        <f t="shared" si="12"/>
        <v>44545.742283820175</v>
      </c>
      <c r="S82" s="82">
        <f t="shared" ca="1" si="13"/>
        <v>1.3063726332601444E-7</v>
      </c>
    </row>
    <row r="83" spans="1:19" s="82" customFormat="1" ht="12" customHeight="1" x14ac:dyDescent="0.2">
      <c r="A83" s="73" t="s">
        <v>162</v>
      </c>
      <c r="B83" s="74" t="s">
        <v>47</v>
      </c>
      <c r="C83" s="75">
        <v>59564.242399999872</v>
      </c>
      <c r="D83" s="76" t="s">
        <v>58</v>
      </c>
      <c r="E83" s="82">
        <f t="shared" si="8"/>
        <v>17023.59550054996</v>
      </c>
      <c r="F83" s="82">
        <f t="shared" si="9"/>
        <v>17023.5</v>
      </c>
      <c r="G83" s="82">
        <f t="shared" si="10"/>
        <v>4.2347999871708453E-2</v>
      </c>
      <c r="K83" s="82">
        <f>+G83</f>
        <v>4.2347999871708453E-2</v>
      </c>
      <c r="O83" s="82">
        <f t="shared" ca="1" si="11"/>
        <v>4.1870382402081081E-2</v>
      </c>
      <c r="Q83" s="85">
        <f t="shared" si="12"/>
        <v>44545.742399999872</v>
      </c>
      <c r="S83" s="82">
        <f t="shared" ca="1" si="13"/>
        <v>2.2811844729325298E-7</v>
      </c>
    </row>
    <row r="84" spans="1:19" s="82" customFormat="1" ht="12" customHeight="1" x14ac:dyDescent="0.2">
      <c r="A84" s="88" t="s">
        <v>164</v>
      </c>
      <c r="B84" s="89" t="s">
        <v>45</v>
      </c>
      <c r="C84" s="77">
        <v>59564.464092640206</v>
      </c>
      <c r="D84" s="90">
        <v>7.0500000000000001E-4</v>
      </c>
      <c r="E84" s="82">
        <f t="shared" si="8"/>
        <v>17024.09544787071</v>
      </c>
      <c r="F84" s="82">
        <f t="shared" si="9"/>
        <v>17024</v>
      </c>
      <c r="G84" s="82">
        <f t="shared" si="10"/>
        <v>4.2324640206061304E-2</v>
      </c>
      <c r="L84" s="82">
        <f>+G84</f>
        <v>4.2324640206061304E-2</v>
      </c>
      <c r="O84" s="82">
        <f t="shared" ca="1" si="11"/>
        <v>4.1871865558037465E-2</v>
      </c>
      <c r="Q84" s="85">
        <f t="shared" si="12"/>
        <v>44545.964092640206</v>
      </c>
      <c r="S84" s="82">
        <f t="shared" ca="1" si="13"/>
        <v>2.0500488189311129E-7</v>
      </c>
    </row>
    <row r="85" spans="1:19" s="82" customFormat="1" ht="12" customHeight="1" x14ac:dyDescent="0.2">
      <c r="A85" s="73" t="s">
        <v>162</v>
      </c>
      <c r="B85" s="74" t="s">
        <v>45</v>
      </c>
      <c r="C85" s="75">
        <v>59566.237199999858</v>
      </c>
      <c r="D85" s="76" t="s">
        <v>58</v>
      </c>
      <c r="E85" s="82">
        <f t="shared" si="8"/>
        <v>17028.094048241568</v>
      </c>
      <c r="F85" s="82">
        <f t="shared" ref="F85:F96" si="15">ROUND(2*E85,0)/2</f>
        <v>17028</v>
      </c>
      <c r="G85" s="82">
        <f t="shared" ref="G85:G88" si="16">+C85-(C$7+F85*C$8)</f>
        <v>4.1703999857418239E-2</v>
      </c>
      <c r="K85" s="82">
        <f>+G85</f>
        <v>4.1703999857418239E-2</v>
      </c>
      <c r="O85" s="82">
        <f t="shared" ca="1" si="11"/>
        <v>4.1883730805688503E-2</v>
      </c>
      <c r="Q85" s="85">
        <f t="shared" si="12"/>
        <v>44547.737199999858</v>
      </c>
      <c r="S85" s="82">
        <f t="shared" ca="1" si="13"/>
        <v>3.2303213766128264E-8</v>
      </c>
    </row>
    <row r="86" spans="1:19" s="82" customFormat="1" ht="12" customHeight="1" x14ac:dyDescent="0.2">
      <c r="A86" s="73" t="s">
        <v>162</v>
      </c>
      <c r="B86" s="74" t="s">
        <v>45</v>
      </c>
      <c r="C86" s="75">
        <v>59566.237999999896</v>
      </c>
      <c r="D86" s="76" t="s">
        <v>60</v>
      </c>
      <c r="E86" s="82">
        <f t="shared" si="8"/>
        <v>17028.095852351416</v>
      </c>
      <c r="F86" s="82">
        <f t="shared" si="15"/>
        <v>17028</v>
      </c>
      <c r="G86" s="82">
        <f t="shared" si="16"/>
        <v>4.25039998954162E-2</v>
      </c>
      <c r="K86" s="82">
        <f>+G86</f>
        <v>4.25039998954162E-2</v>
      </c>
      <c r="O86" s="82">
        <f t="shared" ca="1" si="11"/>
        <v>4.1883730805688503E-2</v>
      </c>
      <c r="Q86" s="85">
        <f t="shared" si="12"/>
        <v>44547.737999999896</v>
      </c>
      <c r="S86" s="82">
        <f t="shared" ca="1" si="13"/>
        <v>3.8473374367162603E-7</v>
      </c>
    </row>
    <row r="87" spans="1:19" s="82" customFormat="1" ht="12" customHeight="1" x14ac:dyDescent="0.2">
      <c r="A87" s="88" t="s">
        <v>164</v>
      </c>
      <c r="B87" s="89" t="s">
        <v>45</v>
      </c>
      <c r="C87" s="77">
        <v>59578.432494069915</v>
      </c>
      <c r="D87" s="90">
        <v>6.6200000000000005E-4</v>
      </c>
      <c r="E87" s="82">
        <f t="shared" si="8"/>
        <v>17055.596109594961</v>
      </c>
      <c r="F87" s="82">
        <f t="shared" si="15"/>
        <v>17055.5</v>
      </c>
      <c r="G87" s="82">
        <f t="shared" si="16"/>
        <v>4.261806991416961E-2</v>
      </c>
      <c r="L87" s="82">
        <f>+G87</f>
        <v>4.261806991416961E-2</v>
      </c>
      <c r="O87" s="82">
        <f t="shared" ca="1" si="11"/>
        <v>4.196530438328943E-2</v>
      </c>
      <c r="Q87" s="85">
        <f t="shared" si="12"/>
        <v>44559.932494069915</v>
      </c>
      <c r="S87" s="82">
        <f t="shared" ca="1" si="13"/>
        <v>4.2610283830528281E-7</v>
      </c>
    </row>
    <row r="88" spans="1:19" s="82" customFormat="1" ht="12" customHeight="1" x14ac:dyDescent="0.2">
      <c r="A88" s="88" t="s">
        <v>164</v>
      </c>
      <c r="B88" s="89" t="s">
        <v>45</v>
      </c>
      <c r="C88" s="77">
        <v>59578.653540300205</v>
      </c>
      <c r="D88" s="90">
        <v>6.7900000000000002E-4</v>
      </c>
      <c r="E88" s="82">
        <f t="shared" si="8"/>
        <v>17056.094599172371</v>
      </c>
      <c r="F88" s="82">
        <f t="shared" si="15"/>
        <v>17056</v>
      </c>
      <c r="G88" s="82">
        <f t="shared" si="16"/>
        <v>4.1948300204239786E-2</v>
      </c>
      <c r="L88" s="82">
        <f>+G88</f>
        <v>4.1948300204239786E-2</v>
      </c>
      <c r="O88" s="82">
        <f t="shared" ca="1" si="11"/>
        <v>4.1966787539245813E-2</v>
      </c>
      <c r="Q88" s="85">
        <f t="shared" si="12"/>
        <v>44560.153540300205</v>
      </c>
      <c r="S88" s="82">
        <f t="shared" ca="1" si="13"/>
        <v>3.4178155562508796E-10</v>
      </c>
    </row>
    <row r="89" spans="1:19" s="82" customFormat="1" ht="12" customHeight="1" x14ac:dyDescent="0.2">
      <c r="A89" s="79" t="s">
        <v>167</v>
      </c>
      <c r="B89" s="80" t="s">
        <v>47</v>
      </c>
      <c r="C89" s="81">
        <v>59616.125899999868</v>
      </c>
      <c r="E89" s="82">
        <f t="shared" ref="E89:E96" si="17">+(C89-C$7)/C$8</f>
        <v>17140.599911598321</v>
      </c>
      <c r="F89" s="82">
        <f t="shared" si="15"/>
        <v>17140.5</v>
      </c>
      <c r="G89" s="82">
        <f t="shared" ref="G89:G96" si="18">+C89-(C$7+F89*C$8)</f>
        <v>4.4303999864496291E-2</v>
      </c>
      <c r="K89" s="82">
        <f>+G89</f>
        <v>4.4303999864496291E-2</v>
      </c>
      <c r="O89" s="82">
        <f t="shared" ref="O89:O96" ca="1" si="19">+C$11+C$12*$F89</f>
        <v>4.2217440895874113E-2</v>
      </c>
      <c r="Q89" s="85">
        <f t="shared" ref="Q89:Q96" si="20">+C89-15018.5</f>
        <v>44597.625899999868</v>
      </c>
      <c r="S89" s="82">
        <f t="shared" ref="S89:S96" ca="1" si="21">+(O89-G89)^2</f>
        <v>4.3537283295376466E-6</v>
      </c>
    </row>
    <row r="90" spans="1:19" s="82" customFormat="1" ht="12" customHeight="1" x14ac:dyDescent="0.2">
      <c r="A90" s="79" t="s">
        <v>167</v>
      </c>
      <c r="B90" s="80" t="s">
        <v>47</v>
      </c>
      <c r="C90" s="81">
        <v>59616.126199999824</v>
      </c>
      <c r="E90" s="82">
        <f t="shared" si="17"/>
        <v>17140.600588139383</v>
      </c>
      <c r="F90" s="82">
        <f t="shared" si="15"/>
        <v>17140.5</v>
      </c>
      <c r="G90" s="82">
        <f t="shared" si="18"/>
        <v>4.4603999820537865E-2</v>
      </c>
      <c r="K90" s="82">
        <f>+G90</f>
        <v>4.4603999820537865E-2</v>
      </c>
      <c r="O90" s="82">
        <f t="shared" ca="1" si="19"/>
        <v>4.2217440895874113E-2</v>
      </c>
      <c r="Q90" s="85">
        <f t="shared" si="20"/>
        <v>44597.626199999824</v>
      </c>
      <c r="S90" s="82">
        <f t="shared" ca="1" si="21"/>
        <v>5.6956635008922057E-6</v>
      </c>
    </row>
    <row r="91" spans="1:19" s="82" customFormat="1" ht="12" customHeight="1" x14ac:dyDescent="0.2">
      <c r="A91" s="79" t="s">
        <v>167</v>
      </c>
      <c r="B91" s="80" t="s">
        <v>47</v>
      </c>
      <c r="C91" s="81">
        <v>59932.296999999788</v>
      </c>
      <c r="E91" s="82">
        <f t="shared" si="17"/>
        <v>17853.609121578473</v>
      </c>
      <c r="F91" s="82">
        <f t="shared" si="15"/>
        <v>17853.5</v>
      </c>
      <c r="G91" s="82">
        <f t="shared" si="18"/>
        <v>4.8387999784608837E-2</v>
      </c>
      <c r="K91" s="82">
        <f>+G91</f>
        <v>4.8387999784608837E-2</v>
      </c>
      <c r="O91" s="82">
        <f t="shared" ca="1" si="19"/>
        <v>4.4332421289672651E-2</v>
      </c>
      <c r="Q91" s="85">
        <f t="shared" si="20"/>
        <v>44913.796999999788</v>
      </c>
      <c r="S91" s="82">
        <f t="shared" ca="1" si="21"/>
        <v>1.6447716928588863E-5</v>
      </c>
    </row>
    <row r="92" spans="1:19" s="82" customFormat="1" ht="12" customHeight="1" x14ac:dyDescent="0.2">
      <c r="A92" s="79" t="s">
        <v>167</v>
      </c>
      <c r="B92" s="80" t="s">
        <v>47</v>
      </c>
      <c r="C92" s="81">
        <v>59936.285999999847</v>
      </c>
      <c r="E92" s="82">
        <f t="shared" si="17"/>
        <v>17862.604863879569</v>
      </c>
      <c r="F92" s="82">
        <f t="shared" si="15"/>
        <v>17862.5</v>
      </c>
      <c r="G92" s="82">
        <f t="shared" si="18"/>
        <v>4.6499999843945261E-2</v>
      </c>
      <c r="K92" s="82">
        <f>+G92</f>
        <v>4.6499999843945261E-2</v>
      </c>
      <c r="O92" s="82">
        <f t="shared" ca="1" si="19"/>
        <v>4.4359118096887501E-2</v>
      </c>
      <c r="Q92" s="85">
        <f t="shared" si="20"/>
        <v>44917.785999999847</v>
      </c>
      <c r="S92" s="82">
        <f t="shared" ca="1" si="21"/>
        <v>4.5833746548850874E-6</v>
      </c>
    </row>
    <row r="93" spans="1:19" s="82" customFormat="1" ht="12" customHeight="1" x14ac:dyDescent="0.2">
      <c r="A93" s="79" t="s">
        <v>167</v>
      </c>
      <c r="B93" s="80" t="s">
        <v>47</v>
      </c>
      <c r="C93" s="81">
        <v>59940.274999999907</v>
      </c>
      <c r="E93" s="82">
        <f t="shared" si="17"/>
        <v>17871.600606180666</v>
      </c>
      <c r="F93" s="82">
        <f t="shared" si="15"/>
        <v>17871.5</v>
      </c>
      <c r="G93" s="82">
        <f t="shared" si="18"/>
        <v>4.4611999903281685E-2</v>
      </c>
      <c r="K93" s="82">
        <f>+G93</f>
        <v>4.4611999903281685E-2</v>
      </c>
      <c r="O93" s="82">
        <f t="shared" ca="1" si="19"/>
        <v>4.4385814904102351E-2</v>
      </c>
      <c r="Q93" s="85">
        <f t="shared" si="20"/>
        <v>44921.774999999907</v>
      </c>
      <c r="S93" s="82">
        <f t="shared" ca="1" si="21"/>
        <v>5.115965385375524E-8</v>
      </c>
    </row>
    <row r="94" spans="1:19" s="82" customFormat="1" ht="12" customHeight="1" x14ac:dyDescent="0.2">
      <c r="A94" s="79" t="s">
        <v>167</v>
      </c>
      <c r="B94" s="80" t="s">
        <v>47</v>
      </c>
      <c r="C94" s="81">
        <v>59944.268999999855</v>
      </c>
      <c r="E94" s="82">
        <f t="shared" si="17"/>
        <v>17880.607624167522</v>
      </c>
      <c r="F94" s="82">
        <f t="shared" si="15"/>
        <v>17880.5</v>
      </c>
      <c r="G94" s="82">
        <f t="shared" si="18"/>
        <v>4.77239998508594E-2</v>
      </c>
      <c r="K94" s="82">
        <f>+G94</f>
        <v>4.77239998508594E-2</v>
      </c>
      <c r="O94" s="82">
        <f t="shared" ca="1" si="19"/>
        <v>4.4412511711317194E-2</v>
      </c>
      <c r="Q94" s="85">
        <f t="shared" si="20"/>
        <v>44925.768999999855</v>
      </c>
      <c r="S94" s="82">
        <f t="shared" ca="1" si="21"/>
        <v>1.0965953698328698E-5</v>
      </c>
    </row>
    <row r="95" spans="1:19" s="82" customFormat="1" ht="12" customHeight="1" x14ac:dyDescent="0.2">
      <c r="A95" s="79" t="s">
        <v>167</v>
      </c>
      <c r="B95" s="80" t="s">
        <v>47</v>
      </c>
      <c r="C95" s="81">
        <v>59944.270000000019</v>
      </c>
      <c r="E95" s="82">
        <f t="shared" si="17"/>
        <v>17880.609879305095</v>
      </c>
      <c r="F95" s="82">
        <f t="shared" si="15"/>
        <v>17880.5</v>
      </c>
      <c r="G95" s="82">
        <f t="shared" si="18"/>
        <v>4.8724000014772173E-2</v>
      </c>
      <c r="K95" s="82">
        <f>+G95</f>
        <v>4.8724000014772173E-2</v>
      </c>
      <c r="O95" s="82">
        <f t="shared" ca="1" si="19"/>
        <v>4.4412511711317194E-2</v>
      </c>
      <c r="Q95" s="85">
        <f t="shared" si="20"/>
        <v>44925.770000000019</v>
      </c>
      <c r="S95" s="82">
        <f t="shared" ca="1" si="21"/>
        <v>1.8588931390829088E-5</v>
      </c>
    </row>
    <row r="96" spans="1:19" s="82" customFormat="1" ht="12" customHeight="1" x14ac:dyDescent="0.2">
      <c r="A96" s="79" t="s">
        <v>167</v>
      </c>
      <c r="B96" s="80" t="s">
        <v>47</v>
      </c>
      <c r="C96" s="81">
        <v>59944.271000000183</v>
      </c>
      <c r="E96" s="82">
        <f t="shared" si="17"/>
        <v>17880.612134442668</v>
      </c>
      <c r="F96" s="82">
        <f t="shared" si="15"/>
        <v>17880.5</v>
      </c>
      <c r="G96" s="82">
        <f t="shared" si="18"/>
        <v>4.9724000178684946E-2</v>
      </c>
      <c r="K96" s="82">
        <f>+G96</f>
        <v>4.9724000178684946E-2</v>
      </c>
      <c r="O96" s="82">
        <f t="shared" ca="1" si="19"/>
        <v>4.4412511711317194E-2</v>
      </c>
      <c r="Q96" s="85">
        <f t="shared" si="20"/>
        <v>44925.771000000183</v>
      </c>
      <c r="S96" s="82">
        <f t="shared" ca="1" si="21"/>
        <v>2.8211909738980628E-5</v>
      </c>
    </row>
    <row r="97" s="82" customFormat="1" ht="12" customHeight="1" x14ac:dyDescent="0.2"/>
    <row r="98" s="82" customFormat="1" ht="12" customHeight="1" x14ac:dyDescent="0.2"/>
    <row r="99" s="82" customFormat="1" ht="12" customHeight="1" x14ac:dyDescent="0.2"/>
    <row r="100" s="82" customFormat="1" ht="12" customHeight="1" x14ac:dyDescent="0.2"/>
    <row r="101" s="82" customFormat="1" ht="12" customHeight="1" x14ac:dyDescent="0.2"/>
    <row r="102" s="82" customFormat="1" ht="12" customHeight="1" x14ac:dyDescent="0.2"/>
    <row r="103" s="82" customFormat="1" ht="12" customHeight="1" x14ac:dyDescent="0.2"/>
    <row r="104" s="82" customFormat="1" ht="12" customHeight="1" x14ac:dyDescent="0.2"/>
    <row r="105" s="82" customFormat="1" ht="12" customHeight="1" x14ac:dyDescent="0.2"/>
    <row r="106" s="82" customFormat="1" ht="12" customHeight="1" x14ac:dyDescent="0.2"/>
    <row r="107" s="82" customFormat="1" ht="12" customHeight="1" x14ac:dyDescent="0.2"/>
    <row r="108" s="82" customFormat="1" ht="12" customHeight="1" x14ac:dyDescent="0.2"/>
    <row r="109" s="82" customFormat="1" ht="12" customHeight="1" x14ac:dyDescent="0.2"/>
    <row r="110" s="82" customFormat="1" ht="12" customHeight="1" x14ac:dyDescent="0.2"/>
    <row r="111" s="82" customFormat="1" ht="12" customHeight="1" x14ac:dyDescent="0.2"/>
    <row r="112" s="82" customFormat="1" ht="12" customHeight="1" x14ac:dyDescent="0.2"/>
    <row r="113" s="82" customFormat="1" ht="12" customHeight="1" x14ac:dyDescent="0.2"/>
    <row r="114" s="82" customFormat="1" ht="12" customHeight="1" x14ac:dyDescent="0.2"/>
    <row r="115" s="82" customFormat="1" ht="12" customHeight="1" x14ac:dyDescent="0.2"/>
    <row r="116" s="82" customFormat="1" ht="12" customHeight="1" x14ac:dyDescent="0.2"/>
    <row r="117" s="82" customFormat="1" ht="12" customHeight="1" x14ac:dyDescent="0.2"/>
    <row r="118" s="82" customFormat="1" ht="12" customHeight="1" x14ac:dyDescent="0.2"/>
    <row r="119" s="82" customFormat="1" ht="12" customHeight="1" x14ac:dyDescent="0.2"/>
    <row r="120" s="82" customFormat="1" ht="12" customHeight="1" x14ac:dyDescent="0.2"/>
    <row r="121" s="82" customFormat="1" ht="12" customHeight="1" x14ac:dyDescent="0.2"/>
    <row r="122" s="82" customFormat="1" ht="12" customHeight="1" x14ac:dyDescent="0.2"/>
    <row r="123" s="82" customFormat="1" ht="12" customHeight="1" x14ac:dyDescent="0.2"/>
    <row r="124" s="82" customFormat="1" ht="12" customHeight="1" x14ac:dyDescent="0.2"/>
    <row r="125" s="82" customFormat="1" ht="12" customHeight="1" x14ac:dyDescent="0.2"/>
    <row r="126" s="82" customFormat="1" ht="12" customHeight="1" x14ac:dyDescent="0.2"/>
    <row r="127" s="82" customFormat="1" ht="12" customHeight="1" x14ac:dyDescent="0.2"/>
    <row r="128" s="82" customFormat="1" ht="12" customHeight="1" x14ac:dyDescent="0.2"/>
    <row r="129" s="82" customFormat="1" ht="12" customHeight="1" x14ac:dyDescent="0.2"/>
    <row r="130" s="82" customFormat="1" ht="12" customHeight="1" x14ac:dyDescent="0.2"/>
    <row r="131" s="82" customFormat="1" ht="12" customHeight="1" x14ac:dyDescent="0.2"/>
    <row r="132" s="82" customFormat="1" ht="12" customHeight="1" x14ac:dyDescent="0.2"/>
    <row r="133" s="82" customFormat="1" ht="12" customHeight="1" x14ac:dyDescent="0.2"/>
    <row r="134" s="82" customFormat="1" ht="12" customHeight="1" x14ac:dyDescent="0.2"/>
    <row r="135" s="82" customFormat="1" ht="12" customHeight="1" x14ac:dyDescent="0.2"/>
    <row r="136" s="82" customFormat="1" ht="12" customHeight="1" x14ac:dyDescent="0.2"/>
    <row r="137" s="82" customFormat="1" ht="12" customHeight="1" x14ac:dyDescent="0.2"/>
    <row r="138" s="82" customFormat="1" ht="12" customHeight="1" x14ac:dyDescent="0.2"/>
    <row r="139" s="82" customFormat="1" ht="12" customHeight="1" x14ac:dyDescent="0.2"/>
    <row r="140" s="82" customFormat="1" ht="12" customHeight="1" x14ac:dyDescent="0.2"/>
    <row r="141" s="82" customFormat="1" ht="12" customHeight="1" x14ac:dyDescent="0.2"/>
    <row r="142" s="82" customFormat="1" ht="12" customHeight="1" x14ac:dyDescent="0.2"/>
    <row r="143" s="82" customFormat="1" ht="12" customHeight="1" x14ac:dyDescent="0.2"/>
    <row r="144" s="82" customFormat="1" ht="12" customHeight="1" x14ac:dyDescent="0.2"/>
    <row r="145" s="82" customFormat="1" ht="12" customHeight="1" x14ac:dyDescent="0.2"/>
    <row r="146" s="82" customFormat="1" ht="12" customHeight="1" x14ac:dyDescent="0.2"/>
    <row r="147" s="82" customFormat="1" ht="12" customHeight="1" x14ac:dyDescent="0.2"/>
    <row r="148" s="82" customFormat="1" ht="12" customHeight="1" x14ac:dyDescent="0.2"/>
    <row r="149" s="82" customFormat="1" ht="12" customHeight="1" x14ac:dyDescent="0.2"/>
    <row r="150" s="82" customFormat="1" ht="12" customHeight="1" x14ac:dyDescent="0.2"/>
    <row r="151" s="82" customFormat="1" ht="12" customHeight="1" x14ac:dyDescent="0.2"/>
    <row r="152" s="82" customFormat="1" ht="12" customHeight="1" x14ac:dyDescent="0.2"/>
    <row r="153" s="82" customFormat="1" ht="12" customHeight="1" x14ac:dyDescent="0.2"/>
    <row r="154" s="82" customFormat="1" ht="12" customHeight="1" x14ac:dyDescent="0.2"/>
    <row r="155" s="82" customFormat="1" ht="12" customHeight="1" x14ac:dyDescent="0.2"/>
  </sheetData>
  <sheetProtection selectLockedCells="1" selectUnlockedCells="1"/>
  <sortState xmlns:xlrd2="http://schemas.microsoft.com/office/spreadsheetml/2017/richdata2" ref="A21:X88">
    <sortCondition ref="C21:C8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4" workbookViewId="0">
      <selection activeCell="A19" sqref="A19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4" t="s">
        <v>67</v>
      </c>
      <c r="I1" s="55" t="s">
        <v>68</v>
      </c>
      <c r="J1" s="56" t="s">
        <v>34</v>
      </c>
    </row>
    <row r="2" spans="1:16" x14ac:dyDescent="0.2">
      <c r="I2" s="57" t="s">
        <v>69</v>
      </c>
      <c r="J2" s="58" t="s">
        <v>33</v>
      </c>
    </row>
    <row r="3" spans="1:16" x14ac:dyDescent="0.2">
      <c r="A3" s="59" t="s">
        <v>70</v>
      </c>
      <c r="I3" s="57" t="s">
        <v>71</v>
      </c>
      <c r="J3" s="58" t="s">
        <v>31</v>
      </c>
    </row>
    <row r="4" spans="1:16" x14ac:dyDescent="0.2">
      <c r="I4" s="57" t="s">
        <v>72</v>
      </c>
      <c r="J4" s="58" t="s">
        <v>31</v>
      </c>
    </row>
    <row r="5" spans="1:16" x14ac:dyDescent="0.2">
      <c r="I5" s="60" t="s">
        <v>60</v>
      </c>
      <c r="J5" s="61" t="s">
        <v>32</v>
      </c>
    </row>
    <row r="11" spans="1:16" ht="12.75" customHeight="1" x14ac:dyDescent="0.2">
      <c r="A11" s="24" t="str">
        <f t="shared" ref="A11:A27" si="0">P11</f>
        <v>BAVM 158 </v>
      </c>
      <c r="B11" s="3" t="str">
        <f t="shared" ref="B11:B27" si="1">IF(H11=INT(H11),"I","II")</f>
        <v>I</v>
      </c>
      <c r="C11" s="24">
        <f t="shared" ref="C11:C27" si="2">1*G11</f>
        <v>52309.406600000002</v>
      </c>
      <c r="D11" t="str">
        <f t="shared" ref="D11:D27" si="3">VLOOKUP(F11,I$1:J$5,2,FALSE)</f>
        <v>vis</v>
      </c>
      <c r="E11">
        <f>VLOOKUP(C11,Active!C$21:E$972,3,FALSE)</f>
        <v>662.94538959750298</v>
      </c>
      <c r="F11" s="3" t="s">
        <v>60</v>
      </c>
      <c r="G11" t="str">
        <f t="shared" ref="G11:G27" si="4">MID(I11,3,LEN(I11)-3)</f>
        <v>52309.4066</v>
      </c>
      <c r="H11" s="24">
        <f t="shared" ref="H11:H27" si="5">1*K11</f>
        <v>-430</v>
      </c>
      <c r="I11" s="62" t="s">
        <v>73</v>
      </c>
      <c r="J11" s="63" t="s">
        <v>74</v>
      </c>
      <c r="K11" s="62">
        <v>-430</v>
      </c>
      <c r="L11" s="62" t="s">
        <v>75</v>
      </c>
      <c r="M11" s="63" t="s">
        <v>76</v>
      </c>
      <c r="N11" s="63" t="s">
        <v>77</v>
      </c>
      <c r="O11" s="64" t="s">
        <v>78</v>
      </c>
      <c r="P11" s="65" t="s">
        <v>79</v>
      </c>
    </row>
    <row r="12" spans="1:16" ht="12.75" customHeight="1" x14ac:dyDescent="0.2">
      <c r="A12" s="24" t="str">
        <f t="shared" si="0"/>
        <v>IBVS 5603 </v>
      </c>
      <c r="B12" s="3" t="str">
        <f t="shared" si="1"/>
        <v>I</v>
      </c>
      <c r="C12" s="24">
        <f t="shared" si="2"/>
        <v>53118.693899999998</v>
      </c>
      <c r="D12" t="str">
        <f t="shared" si="3"/>
        <v>vis</v>
      </c>
      <c r="E12">
        <f>VLOOKUP(C12,Active!C$21:E$972,3,FALSE)</f>
        <v>2487.9992873766355</v>
      </c>
      <c r="F12" s="3" t="s">
        <v>60</v>
      </c>
      <c r="G12" t="str">
        <f t="shared" si="4"/>
        <v>53118.6939</v>
      </c>
      <c r="H12" s="24">
        <f t="shared" si="5"/>
        <v>1395</v>
      </c>
      <c r="I12" s="62" t="s">
        <v>80</v>
      </c>
      <c r="J12" s="63" t="s">
        <v>81</v>
      </c>
      <c r="K12" s="62">
        <v>1395</v>
      </c>
      <c r="L12" s="62" t="s">
        <v>82</v>
      </c>
      <c r="M12" s="63" t="s">
        <v>76</v>
      </c>
      <c r="N12" s="63" t="s">
        <v>83</v>
      </c>
      <c r="O12" s="64" t="s">
        <v>84</v>
      </c>
      <c r="P12" s="65" t="s">
        <v>85</v>
      </c>
    </row>
    <row r="13" spans="1:16" ht="12.75" customHeight="1" x14ac:dyDescent="0.2">
      <c r="A13" s="24" t="str">
        <f t="shared" si="0"/>
        <v>IBVS 5843 </v>
      </c>
      <c r="B13" s="3" t="str">
        <f t="shared" si="1"/>
        <v>II</v>
      </c>
      <c r="C13" s="24">
        <f t="shared" si="2"/>
        <v>53410.700299999997</v>
      </c>
      <c r="D13" t="str">
        <f t="shared" si="3"/>
        <v>vis</v>
      </c>
      <c r="E13">
        <f>VLOOKUP(C13,Active!C$21:E$972,3,FALSE)</f>
        <v>3146.51378339857</v>
      </c>
      <c r="F13" s="3" t="s">
        <v>60</v>
      </c>
      <c r="G13" t="str">
        <f t="shared" si="4"/>
        <v>53410.7003</v>
      </c>
      <c r="H13" s="24">
        <f t="shared" si="5"/>
        <v>2053.5</v>
      </c>
      <c r="I13" s="62" t="s">
        <v>86</v>
      </c>
      <c r="J13" s="63" t="s">
        <v>87</v>
      </c>
      <c r="K13" s="62">
        <v>2053.5</v>
      </c>
      <c r="L13" s="62" t="s">
        <v>88</v>
      </c>
      <c r="M13" s="63" t="s">
        <v>89</v>
      </c>
      <c r="N13" s="63" t="s">
        <v>90</v>
      </c>
      <c r="O13" s="64" t="s">
        <v>91</v>
      </c>
      <c r="P13" s="65" t="s">
        <v>92</v>
      </c>
    </row>
    <row r="14" spans="1:16" ht="12.75" customHeight="1" x14ac:dyDescent="0.2">
      <c r="A14" s="24" t="str">
        <f t="shared" si="0"/>
        <v>IBVS 5843 </v>
      </c>
      <c r="B14" s="3" t="str">
        <f t="shared" si="1"/>
        <v>I</v>
      </c>
      <c r="C14" s="24">
        <f t="shared" si="2"/>
        <v>53411.805999999997</v>
      </c>
      <c r="D14" t="str">
        <f t="shared" si="3"/>
        <v>vis</v>
      </c>
      <c r="E14">
        <f>VLOOKUP(C14,Active!C$21:E$972,3,FALSE)</f>
        <v>3149.0072886034268</v>
      </c>
      <c r="F14" s="3" t="s">
        <v>60</v>
      </c>
      <c r="G14" t="str">
        <f t="shared" si="4"/>
        <v>53411.8060</v>
      </c>
      <c r="H14" s="24">
        <f t="shared" si="5"/>
        <v>2056</v>
      </c>
      <c r="I14" s="62" t="s">
        <v>93</v>
      </c>
      <c r="J14" s="63" t="s">
        <v>94</v>
      </c>
      <c r="K14" s="62" t="s">
        <v>95</v>
      </c>
      <c r="L14" s="62" t="s">
        <v>96</v>
      </c>
      <c r="M14" s="63" t="s">
        <v>89</v>
      </c>
      <c r="N14" s="63" t="s">
        <v>90</v>
      </c>
      <c r="O14" s="64" t="s">
        <v>91</v>
      </c>
      <c r="P14" s="65" t="s">
        <v>92</v>
      </c>
    </row>
    <row r="15" spans="1:16" ht="12.75" customHeight="1" x14ac:dyDescent="0.2">
      <c r="A15" s="24" t="str">
        <f t="shared" si="0"/>
        <v>IBVS 5843 </v>
      </c>
      <c r="B15" s="3" t="str">
        <f t="shared" si="1"/>
        <v>II</v>
      </c>
      <c r="C15" s="24">
        <f t="shared" si="2"/>
        <v>53413.798199999997</v>
      </c>
      <c r="D15" t="str">
        <f t="shared" si="3"/>
        <v>vis</v>
      </c>
      <c r="E15">
        <f>VLOOKUP(C15,Active!C$21:E$972,3,FALSE)</f>
        <v>3153.499972938343</v>
      </c>
      <c r="F15" s="3" t="s">
        <v>60</v>
      </c>
      <c r="G15" t="str">
        <f t="shared" si="4"/>
        <v>53413.7982</v>
      </c>
      <c r="H15" s="24">
        <f t="shared" si="5"/>
        <v>2060.5</v>
      </c>
      <c r="I15" s="62" t="s">
        <v>97</v>
      </c>
      <c r="J15" s="63" t="s">
        <v>98</v>
      </c>
      <c r="K15" s="62" t="s">
        <v>99</v>
      </c>
      <c r="L15" s="62" t="s">
        <v>100</v>
      </c>
      <c r="M15" s="63" t="s">
        <v>89</v>
      </c>
      <c r="N15" s="63" t="s">
        <v>90</v>
      </c>
      <c r="O15" s="64" t="s">
        <v>91</v>
      </c>
      <c r="P15" s="65" t="s">
        <v>92</v>
      </c>
    </row>
    <row r="16" spans="1:16" ht="12.75" customHeight="1" x14ac:dyDescent="0.2">
      <c r="A16" s="24" t="str">
        <f t="shared" si="0"/>
        <v>IBVS 5843 </v>
      </c>
      <c r="B16" s="3" t="str">
        <f t="shared" si="1"/>
        <v>I</v>
      </c>
      <c r="C16" s="24">
        <f t="shared" si="2"/>
        <v>53459.693200000002</v>
      </c>
      <c r="D16" t="str">
        <f t="shared" si="3"/>
        <v>vis</v>
      </c>
      <c r="E16">
        <f>VLOOKUP(C16,Active!C$21:E$972,3,FALSE)</f>
        <v>3256.9994948492654</v>
      </c>
      <c r="F16" s="3" t="s">
        <v>60</v>
      </c>
      <c r="G16" t="str">
        <f t="shared" si="4"/>
        <v>53459.6932</v>
      </c>
      <c r="H16" s="24">
        <f t="shared" si="5"/>
        <v>2164</v>
      </c>
      <c r="I16" s="62" t="s">
        <v>101</v>
      </c>
      <c r="J16" s="63" t="s">
        <v>102</v>
      </c>
      <c r="K16" s="62" t="s">
        <v>103</v>
      </c>
      <c r="L16" s="62" t="s">
        <v>104</v>
      </c>
      <c r="M16" s="63" t="s">
        <v>89</v>
      </c>
      <c r="N16" s="63" t="s">
        <v>90</v>
      </c>
      <c r="O16" s="64" t="s">
        <v>91</v>
      </c>
      <c r="P16" s="65" t="s">
        <v>92</v>
      </c>
    </row>
    <row r="17" spans="1:16" ht="12.75" customHeight="1" x14ac:dyDescent="0.2">
      <c r="A17" s="24" t="str">
        <f t="shared" si="0"/>
        <v>BAVM 241 (=IBVS 6157) </v>
      </c>
      <c r="B17" s="3" t="str">
        <f t="shared" si="1"/>
        <v>I</v>
      </c>
      <c r="C17" s="24">
        <f t="shared" si="2"/>
        <v>56727.369200000001</v>
      </c>
      <c r="D17" t="str">
        <f t="shared" si="3"/>
        <v>vis</v>
      </c>
      <c r="E17">
        <f>VLOOKUP(C17,Active!C$21:E$972,3,FALSE)</f>
        <v>10626.057208320552</v>
      </c>
      <c r="F17" s="3" t="s">
        <v>60</v>
      </c>
      <c r="G17" t="str">
        <f t="shared" si="4"/>
        <v>56727.3692</v>
      </c>
      <c r="H17" s="24">
        <f t="shared" si="5"/>
        <v>9533</v>
      </c>
      <c r="I17" s="62" t="s">
        <v>105</v>
      </c>
      <c r="J17" s="63" t="s">
        <v>106</v>
      </c>
      <c r="K17" s="62" t="s">
        <v>107</v>
      </c>
      <c r="L17" s="62" t="s">
        <v>108</v>
      </c>
      <c r="M17" s="63" t="s">
        <v>89</v>
      </c>
      <c r="N17" s="63" t="s">
        <v>60</v>
      </c>
      <c r="O17" s="64" t="s">
        <v>109</v>
      </c>
      <c r="P17" s="65" t="s">
        <v>110</v>
      </c>
    </row>
    <row r="18" spans="1:16" ht="12.75" customHeight="1" x14ac:dyDescent="0.2">
      <c r="A18" s="24" t="str">
        <f t="shared" si="0"/>
        <v>OEJV 0172 </v>
      </c>
      <c r="B18" s="3" t="str">
        <f t="shared" si="1"/>
        <v>II</v>
      </c>
      <c r="C18" s="24">
        <f t="shared" si="2"/>
        <v>57013.606</v>
      </c>
      <c r="D18" t="str">
        <f t="shared" si="3"/>
        <v>vis</v>
      </c>
      <c r="E18">
        <f>VLOOKUP(C18,Active!C$21:E$972,3,FALSE)</f>
        <v>11271.56046473867</v>
      </c>
      <c r="F18" s="3" t="s">
        <v>60</v>
      </c>
      <c r="G18" t="str">
        <f t="shared" si="4"/>
        <v>57013.606</v>
      </c>
      <c r="H18" s="24">
        <f t="shared" si="5"/>
        <v>10178.5</v>
      </c>
      <c r="I18" s="62" t="s">
        <v>111</v>
      </c>
      <c r="J18" s="63" t="s">
        <v>112</v>
      </c>
      <c r="K18" s="62" t="s">
        <v>113</v>
      </c>
      <c r="L18" s="62" t="s">
        <v>114</v>
      </c>
      <c r="M18" s="63" t="s">
        <v>89</v>
      </c>
      <c r="N18" s="63" t="s">
        <v>77</v>
      </c>
      <c r="O18" s="64" t="s">
        <v>115</v>
      </c>
      <c r="P18" s="65" t="s">
        <v>116</v>
      </c>
    </row>
    <row r="19" spans="1:16" ht="12.75" customHeight="1" x14ac:dyDescent="0.2">
      <c r="A19" s="24" t="str">
        <f t="shared" si="0"/>
        <v>VSB 46 </v>
      </c>
      <c r="B19" s="3" t="str">
        <f t="shared" si="1"/>
        <v>II</v>
      </c>
      <c r="C19" s="24">
        <f t="shared" si="2"/>
        <v>54147.240100000003</v>
      </c>
      <c r="D19" t="str">
        <f t="shared" si="3"/>
        <v>vis</v>
      </c>
      <c r="E19">
        <f>VLOOKUP(C19,Active!C$21:E$972,3,FALSE)</f>
        <v>4807.5120875354069</v>
      </c>
      <c r="F19" s="3" t="s">
        <v>60</v>
      </c>
      <c r="G19" t="str">
        <f t="shared" si="4"/>
        <v>54147.2401</v>
      </c>
      <c r="H19" s="24">
        <f t="shared" si="5"/>
        <v>3714.5</v>
      </c>
      <c r="I19" s="62" t="s">
        <v>117</v>
      </c>
      <c r="J19" s="63" t="s">
        <v>118</v>
      </c>
      <c r="K19" s="62" t="s">
        <v>119</v>
      </c>
      <c r="L19" s="62" t="s">
        <v>104</v>
      </c>
      <c r="M19" s="63" t="s">
        <v>89</v>
      </c>
      <c r="N19" s="63" t="s">
        <v>60</v>
      </c>
      <c r="O19" s="64" t="s">
        <v>120</v>
      </c>
      <c r="P19" s="65" t="s">
        <v>49</v>
      </c>
    </row>
    <row r="20" spans="1:16" ht="12.75" customHeight="1" x14ac:dyDescent="0.2">
      <c r="A20" s="24" t="str">
        <f t="shared" si="0"/>
        <v>VSB 46 </v>
      </c>
      <c r="B20" s="3" t="str">
        <f t="shared" si="1"/>
        <v>I</v>
      </c>
      <c r="C20" s="24">
        <f t="shared" si="2"/>
        <v>54174.069900000002</v>
      </c>
      <c r="D20" t="str">
        <f t="shared" si="3"/>
        <v>vis</v>
      </c>
      <c r="E20">
        <f>VLOOKUP(C20,Active!C$21:E$972,3,FALSE)</f>
        <v>4868.0169676523119</v>
      </c>
      <c r="F20" s="3" t="s">
        <v>60</v>
      </c>
      <c r="G20" t="str">
        <f t="shared" si="4"/>
        <v>54174.0699</v>
      </c>
      <c r="H20" s="24">
        <f t="shared" si="5"/>
        <v>3775</v>
      </c>
      <c r="I20" s="62" t="s">
        <v>121</v>
      </c>
      <c r="J20" s="63" t="s">
        <v>122</v>
      </c>
      <c r="K20" s="62" t="s">
        <v>123</v>
      </c>
      <c r="L20" s="62" t="s">
        <v>124</v>
      </c>
      <c r="M20" s="63" t="s">
        <v>89</v>
      </c>
      <c r="N20" s="63" t="s">
        <v>58</v>
      </c>
      <c r="O20" s="64" t="s">
        <v>125</v>
      </c>
      <c r="P20" s="65" t="s">
        <v>49</v>
      </c>
    </row>
    <row r="21" spans="1:16" ht="12.75" customHeight="1" x14ac:dyDescent="0.2">
      <c r="A21" s="24" t="str">
        <f t="shared" si="0"/>
        <v>VSB 48 </v>
      </c>
      <c r="B21" s="3" t="str">
        <f t="shared" si="1"/>
        <v>II</v>
      </c>
      <c r="C21" s="24">
        <f t="shared" si="2"/>
        <v>54832.3514</v>
      </c>
      <c r="D21" t="str">
        <f t="shared" si="3"/>
        <v>vis</v>
      </c>
      <c r="E21">
        <f>VLOOKUP(C21,Active!C$21:E$972,3,FALSE)</f>
        <v>6352.5320680510149</v>
      </c>
      <c r="F21" s="3" t="s">
        <v>60</v>
      </c>
      <c r="G21" t="str">
        <f t="shared" si="4"/>
        <v>54832.3514</v>
      </c>
      <c r="H21" s="24">
        <f t="shared" si="5"/>
        <v>5259.5</v>
      </c>
      <c r="I21" s="62" t="s">
        <v>126</v>
      </c>
      <c r="J21" s="63" t="s">
        <v>127</v>
      </c>
      <c r="K21" s="62" t="s">
        <v>128</v>
      </c>
      <c r="L21" s="62" t="s">
        <v>129</v>
      </c>
      <c r="M21" s="63" t="s">
        <v>89</v>
      </c>
      <c r="N21" s="63" t="s">
        <v>66</v>
      </c>
      <c r="O21" s="64" t="s">
        <v>120</v>
      </c>
      <c r="P21" s="65" t="s">
        <v>50</v>
      </c>
    </row>
    <row r="22" spans="1:16" ht="12.75" customHeight="1" x14ac:dyDescent="0.2">
      <c r="A22" s="24" t="str">
        <f t="shared" si="0"/>
        <v>VSB 50 </v>
      </c>
      <c r="B22" s="3" t="str">
        <f t="shared" si="1"/>
        <v>I</v>
      </c>
      <c r="C22" s="24">
        <f t="shared" si="2"/>
        <v>54907.067600000002</v>
      </c>
      <c r="D22" t="str">
        <f t="shared" si="3"/>
        <v>vis</v>
      </c>
      <c r="E22">
        <f>VLOOKUP(C22,Active!C$21:E$972,3,FALSE)</f>
        <v>6521.0273503039925</v>
      </c>
      <c r="F22" s="3" t="s">
        <v>60</v>
      </c>
      <c r="G22" t="str">
        <f t="shared" si="4"/>
        <v>54907.0676</v>
      </c>
      <c r="H22" s="24">
        <f t="shared" si="5"/>
        <v>5428</v>
      </c>
      <c r="I22" s="62" t="s">
        <v>130</v>
      </c>
      <c r="J22" s="63" t="s">
        <v>131</v>
      </c>
      <c r="K22" s="62" t="s">
        <v>132</v>
      </c>
      <c r="L22" s="62" t="s">
        <v>133</v>
      </c>
      <c r="M22" s="63" t="s">
        <v>89</v>
      </c>
      <c r="N22" s="63" t="s">
        <v>58</v>
      </c>
      <c r="O22" s="64" t="s">
        <v>125</v>
      </c>
      <c r="P22" s="65" t="s">
        <v>51</v>
      </c>
    </row>
    <row r="23" spans="1:16" ht="12.75" customHeight="1" x14ac:dyDescent="0.2">
      <c r="A23" s="24" t="str">
        <f t="shared" si="0"/>
        <v>VSB 53 </v>
      </c>
      <c r="B23" s="3" t="str">
        <f t="shared" si="1"/>
        <v>II</v>
      </c>
      <c r="C23" s="24">
        <f t="shared" si="2"/>
        <v>55626.100599999998</v>
      </c>
      <c r="D23" t="str">
        <f t="shared" si="3"/>
        <v>vis</v>
      </c>
      <c r="E23">
        <f>VLOOKUP(C23,Active!C$21:E$972,3,FALSE)</f>
        <v>8142.5454184632499</v>
      </c>
      <c r="F23" s="3" t="s">
        <v>60</v>
      </c>
      <c r="G23" t="str">
        <f t="shared" si="4"/>
        <v>55626.1006</v>
      </c>
      <c r="H23" s="24">
        <f t="shared" si="5"/>
        <v>7049.5</v>
      </c>
      <c r="I23" s="62" t="s">
        <v>134</v>
      </c>
      <c r="J23" s="63" t="s">
        <v>135</v>
      </c>
      <c r="K23" s="62" t="s">
        <v>136</v>
      </c>
      <c r="L23" s="62" t="s">
        <v>137</v>
      </c>
      <c r="M23" s="63" t="s">
        <v>89</v>
      </c>
      <c r="N23" s="63" t="s">
        <v>58</v>
      </c>
      <c r="O23" s="64" t="s">
        <v>125</v>
      </c>
      <c r="P23" s="65" t="s">
        <v>52</v>
      </c>
    </row>
    <row r="24" spans="1:16" ht="12.75" customHeight="1" x14ac:dyDescent="0.2">
      <c r="A24" s="24" t="str">
        <f t="shared" si="0"/>
        <v>VSB 53 </v>
      </c>
      <c r="B24" s="3" t="str">
        <f t="shared" si="1"/>
        <v>I</v>
      </c>
      <c r="C24" s="24">
        <f t="shared" si="2"/>
        <v>55656.031900000002</v>
      </c>
      <c r="D24" t="str">
        <f t="shared" si="3"/>
        <v>vis</v>
      </c>
      <c r="E24">
        <f>VLOOKUP(C24,Active!C$21:E$972,3,FALSE)</f>
        <v>8210.0446066138666</v>
      </c>
      <c r="F24" s="3" t="s">
        <v>60</v>
      </c>
      <c r="G24" t="str">
        <f t="shared" si="4"/>
        <v>55656.0319</v>
      </c>
      <c r="H24" s="24">
        <f t="shared" si="5"/>
        <v>7117</v>
      </c>
      <c r="I24" s="62" t="s">
        <v>138</v>
      </c>
      <c r="J24" s="63" t="s">
        <v>139</v>
      </c>
      <c r="K24" s="62" t="s">
        <v>140</v>
      </c>
      <c r="L24" s="62" t="s">
        <v>141</v>
      </c>
      <c r="M24" s="63" t="s">
        <v>89</v>
      </c>
      <c r="N24" s="63" t="s">
        <v>142</v>
      </c>
      <c r="O24" s="64" t="s">
        <v>125</v>
      </c>
      <c r="P24" s="65" t="s">
        <v>52</v>
      </c>
    </row>
    <row r="25" spans="1:16" ht="12.75" customHeight="1" x14ac:dyDescent="0.2">
      <c r="A25" s="24" t="str">
        <f t="shared" si="0"/>
        <v>VSB 55 </v>
      </c>
      <c r="B25" s="3" t="str">
        <f t="shared" si="1"/>
        <v>II</v>
      </c>
      <c r="C25" s="24">
        <f t="shared" si="2"/>
        <v>56018.982199999999</v>
      </c>
      <c r="D25" t="str">
        <f t="shared" si="3"/>
        <v>vis</v>
      </c>
      <c r="E25">
        <f>VLOOKUP(C25,Active!C$21:E$972,3,FALSE)</f>
        <v>9028.5473308195997</v>
      </c>
      <c r="F25" s="3" t="s">
        <v>60</v>
      </c>
      <c r="G25" t="str">
        <f t="shared" si="4"/>
        <v>56018.9822</v>
      </c>
      <c r="H25" s="24">
        <f t="shared" si="5"/>
        <v>7935.5</v>
      </c>
      <c r="I25" s="62" t="s">
        <v>143</v>
      </c>
      <c r="J25" s="63" t="s">
        <v>144</v>
      </c>
      <c r="K25" s="62" t="s">
        <v>145</v>
      </c>
      <c r="L25" s="62" t="s">
        <v>146</v>
      </c>
      <c r="M25" s="63" t="s">
        <v>89</v>
      </c>
      <c r="N25" s="63" t="s">
        <v>58</v>
      </c>
      <c r="O25" s="64" t="s">
        <v>125</v>
      </c>
      <c r="P25" s="65" t="s">
        <v>53</v>
      </c>
    </row>
    <row r="26" spans="1:16" ht="12.75" customHeight="1" x14ac:dyDescent="0.2">
      <c r="A26" s="24" t="str">
        <f t="shared" si="0"/>
        <v>VSB 55 </v>
      </c>
      <c r="B26" s="3" t="str">
        <f t="shared" si="1"/>
        <v>II</v>
      </c>
      <c r="C26" s="24">
        <f t="shared" si="2"/>
        <v>56026.963799999998</v>
      </c>
      <c r="D26" t="str">
        <f t="shared" si="3"/>
        <v>vis</v>
      </c>
      <c r="E26">
        <f>VLOOKUP(C26,Active!C$21:E$972,3,FALSE)</f>
        <v>9046.5469339154497</v>
      </c>
      <c r="F26" s="3" t="s">
        <v>60</v>
      </c>
      <c r="G26" t="str">
        <f t="shared" si="4"/>
        <v>56026.9638</v>
      </c>
      <c r="H26" s="24">
        <f t="shared" si="5"/>
        <v>7953.5</v>
      </c>
      <c r="I26" s="62" t="s">
        <v>147</v>
      </c>
      <c r="J26" s="63" t="s">
        <v>148</v>
      </c>
      <c r="K26" s="62" t="s">
        <v>149</v>
      </c>
      <c r="L26" s="62" t="s">
        <v>150</v>
      </c>
      <c r="M26" s="63" t="s">
        <v>89</v>
      </c>
      <c r="N26" s="63" t="s">
        <v>58</v>
      </c>
      <c r="O26" s="64" t="s">
        <v>125</v>
      </c>
      <c r="P26" s="65" t="s">
        <v>53</v>
      </c>
    </row>
    <row r="27" spans="1:16" ht="12.75" customHeight="1" x14ac:dyDescent="0.2">
      <c r="A27" s="24" t="str">
        <f t="shared" si="0"/>
        <v>VSB 59 </v>
      </c>
      <c r="B27" s="3" t="str">
        <f t="shared" si="1"/>
        <v>II</v>
      </c>
      <c r="C27" s="24">
        <f t="shared" si="2"/>
        <v>56740.005499999999</v>
      </c>
      <c r="D27" t="str">
        <f t="shared" si="3"/>
        <v>vis</v>
      </c>
      <c r="E27">
        <f>VLOOKUP(C27,Active!C$21:E$972,3,FALSE)</f>
        <v>10654.553798553097</v>
      </c>
      <c r="F27" s="3" t="s">
        <v>60</v>
      </c>
      <c r="G27" t="str">
        <f t="shared" si="4"/>
        <v>56740.0055</v>
      </c>
      <c r="H27" s="24">
        <f t="shared" si="5"/>
        <v>9561.5</v>
      </c>
      <c r="I27" s="62" t="s">
        <v>151</v>
      </c>
      <c r="J27" s="63" t="s">
        <v>152</v>
      </c>
      <c r="K27" s="62" t="s">
        <v>153</v>
      </c>
      <c r="L27" s="62" t="s">
        <v>154</v>
      </c>
      <c r="M27" s="63" t="s">
        <v>89</v>
      </c>
      <c r="N27" s="63" t="s">
        <v>58</v>
      </c>
      <c r="O27" s="64" t="s">
        <v>125</v>
      </c>
      <c r="P27" s="65" t="s">
        <v>55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U26" sqref="U26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28515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1" t="s">
        <v>155</v>
      </c>
      <c r="C2" s="66" t="s">
        <v>156</v>
      </c>
      <c r="D2" s="3"/>
    </row>
    <row r="4" spans="1:7" x14ac:dyDescent="0.2">
      <c r="A4" s="4" t="s">
        <v>2</v>
      </c>
      <c r="C4" s="5">
        <v>52015.435400000002</v>
      </c>
      <c r="D4" s="6">
        <v>0.44341999999999998</v>
      </c>
    </row>
    <row r="6" spans="1:7" x14ac:dyDescent="0.2">
      <c r="A6" s="4" t="s">
        <v>5</v>
      </c>
    </row>
    <row r="7" spans="1:7" x14ac:dyDescent="0.2">
      <c r="A7" s="1" t="s">
        <v>6</v>
      </c>
      <c r="C7" s="9">
        <v>52015.435400000002</v>
      </c>
    </row>
    <row r="8" spans="1:7" x14ac:dyDescent="0.2">
      <c r="A8" s="1" t="s">
        <v>7</v>
      </c>
      <c r="C8" s="10">
        <v>0.44343199999999999</v>
      </c>
    </row>
    <row r="9" spans="1:7" x14ac:dyDescent="0.2">
      <c r="A9" s="7" t="s">
        <v>3</v>
      </c>
      <c r="B9"/>
      <c r="C9" s="8">
        <v>8</v>
      </c>
      <c r="D9" t="s">
        <v>4</v>
      </c>
      <c r="E9"/>
    </row>
    <row r="10" spans="1:7" x14ac:dyDescent="0.2">
      <c r="A10"/>
      <c r="B10"/>
      <c r="C10" s="15" t="s">
        <v>9</v>
      </c>
      <c r="D10" s="15" t="s">
        <v>10</v>
      </c>
      <c r="E10"/>
    </row>
    <row r="11" spans="1:7" x14ac:dyDescent="0.2">
      <c r="A11" t="s">
        <v>11</v>
      </c>
      <c r="B11"/>
      <c r="C11" s="16">
        <f ca="1">INTERCEPT(INDIRECT($G$11):G975,INDIRECT($F$11):F975)</f>
        <v>5.2101961974528599E-3</v>
      </c>
      <c r="D11" s="3"/>
      <c r="E11"/>
      <c r="F11" s="13" t="str">
        <f>"F"&amp;E19</f>
        <v>F21</v>
      </c>
      <c r="G11" s="14" t="str">
        <f>"G"&amp;E19</f>
        <v>G21</v>
      </c>
    </row>
    <row r="12" spans="1:7" x14ac:dyDescent="0.2">
      <c r="A12" t="s">
        <v>12</v>
      </c>
      <c r="B12"/>
      <c r="C12" s="16">
        <f ca="1">SLOPE(INDIRECT($G$11):G975,INDIRECT($F$11):F975)</f>
        <v>-7.3172254699171486E-5</v>
      </c>
      <c r="D12" s="3"/>
      <c r="E12"/>
    </row>
    <row r="13" spans="1:7" x14ac:dyDescent="0.2">
      <c r="A13" t="s">
        <v>13</v>
      </c>
      <c r="B13"/>
      <c r="C13" s="3" t="s">
        <v>14</v>
      </c>
      <c r="D13" s="3"/>
      <c r="E13"/>
    </row>
    <row r="14" spans="1:7" x14ac:dyDescent="0.2">
      <c r="A14"/>
      <c r="B14"/>
      <c r="C14"/>
      <c r="D14"/>
      <c r="E14"/>
    </row>
    <row r="15" spans="1:7" x14ac:dyDescent="0.2">
      <c r="A15" s="17" t="s">
        <v>15</v>
      </c>
      <c r="B15"/>
      <c r="C15" s="18">
        <f ca="1">(C7+C11)+(C8+C12)*INT(MAX(F21:F3516))</f>
        <v>53459.460312162642</v>
      </c>
      <c r="D15" s="11" t="s">
        <v>18</v>
      </c>
      <c r="E15" s="67">
        <f ca="1">TODAY()+15018.5-B9/24</f>
        <v>60178.5</v>
      </c>
    </row>
    <row r="16" spans="1:7" x14ac:dyDescent="0.2">
      <c r="A16" s="17" t="s">
        <v>17</v>
      </c>
      <c r="B16"/>
      <c r="C16" s="18">
        <f ca="1">+C8+C12</f>
        <v>0.44335882774530083</v>
      </c>
      <c r="D16" s="11" t="s">
        <v>22</v>
      </c>
      <c r="E16" s="16">
        <f ca="1">ROUND(2*(E15-C15)/C16,0)/2+1</f>
        <v>15156</v>
      </c>
    </row>
    <row r="17" spans="1:18" x14ac:dyDescent="0.2">
      <c r="A17" s="11" t="s">
        <v>19</v>
      </c>
      <c r="B17"/>
      <c r="C17">
        <f>COUNT(C21:C2174)</f>
        <v>7</v>
      </c>
      <c r="D17" s="11" t="s">
        <v>23</v>
      </c>
      <c r="E17" s="21">
        <f ca="1">+C15+C16*E16-15018.5-C9/24</f>
        <v>45160.173372137084</v>
      </c>
    </row>
    <row r="18" spans="1:18" x14ac:dyDescent="0.2">
      <c r="A18" s="17" t="s">
        <v>21</v>
      </c>
      <c r="B18"/>
      <c r="C18" s="19">
        <f ca="1">+C15</f>
        <v>53459.460312162642</v>
      </c>
      <c r="D18" s="20">
        <f ca="1">+C16</f>
        <v>0.44335882774530083</v>
      </c>
      <c r="E18" s="68" t="s">
        <v>157</v>
      </c>
      <c r="R18" s="1">
        <f ca="1">SQRT(SUM(R21:R27)/COUNT(R21:R27))</f>
        <v>1.9660979465925776E-2</v>
      </c>
    </row>
    <row r="19" spans="1:18" x14ac:dyDescent="0.2">
      <c r="A19" s="11" t="s">
        <v>8</v>
      </c>
      <c r="E19" s="12">
        <v>21</v>
      </c>
    </row>
    <row r="20" spans="1:18" x14ac:dyDescent="0.2">
      <c r="A20" s="15" t="s">
        <v>24</v>
      </c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  <c r="H20" s="22" t="s">
        <v>158</v>
      </c>
      <c r="I20" s="22" t="s">
        <v>159</v>
      </c>
      <c r="J20" s="22" t="s">
        <v>160</v>
      </c>
      <c r="K20" s="22" t="s">
        <v>161</v>
      </c>
      <c r="L20" s="22" t="s">
        <v>35</v>
      </c>
      <c r="M20" s="22" t="s">
        <v>36</v>
      </c>
      <c r="N20" s="22" t="s">
        <v>37</v>
      </c>
      <c r="O20" s="22" t="s">
        <v>38</v>
      </c>
      <c r="P20" s="22" t="s">
        <v>39</v>
      </c>
      <c r="Q20" s="15" t="s">
        <v>40</v>
      </c>
    </row>
    <row r="21" spans="1:18" x14ac:dyDescent="0.2">
      <c r="A21" s="1" t="s">
        <v>42</v>
      </c>
      <c r="C21" s="1">
        <v>52015.435400000002</v>
      </c>
      <c r="D21" s="3"/>
      <c r="E21" s="1">
        <f t="shared" ref="E21:E27" si="0">+(C21-C$7)/C$8</f>
        <v>0</v>
      </c>
      <c r="F21" s="1">
        <f>ROUND(2*E21,0)/2</f>
        <v>0</v>
      </c>
      <c r="G21" s="1">
        <f t="shared" ref="G21:G27" si="1">+C21-(C$7+F21*C$8)</f>
        <v>0</v>
      </c>
      <c r="I21" s="1">
        <f t="shared" ref="I21:I27" si="2">+G21</f>
        <v>0</v>
      </c>
      <c r="O21" s="1">
        <f t="shared" ref="O21:O27" ca="1" si="3">+C$11+C$12*$F21</f>
        <v>5.2101961974528599E-3</v>
      </c>
      <c r="Q21" s="25">
        <f t="shared" ref="Q21:Q27" si="4">+C21-15018.5</f>
        <v>36996.935400000002</v>
      </c>
      <c r="R21" s="1">
        <f ca="1">+(O21-G21)^2</f>
        <v>2.714614441595224E-5</v>
      </c>
    </row>
    <row r="22" spans="1:18" x14ac:dyDescent="0.2">
      <c r="A22" s="26" t="s">
        <v>43</v>
      </c>
      <c r="B22" s="27"/>
      <c r="C22" s="9">
        <v>52309.406600000002</v>
      </c>
      <c r="D22" s="9">
        <v>5.0000000000000001E-4</v>
      </c>
      <c r="E22" s="1">
        <f t="shared" si="0"/>
        <v>662.94538959750298</v>
      </c>
      <c r="F22" s="1">
        <f>ROUND(2*E22,0)/2</f>
        <v>663</v>
      </c>
      <c r="G22" s="1">
        <f t="shared" si="1"/>
        <v>-2.4215999997977633E-2</v>
      </c>
      <c r="I22" s="1">
        <f t="shared" si="2"/>
        <v>-2.4215999997977633E-2</v>
      </c>
      <c r="O22" s="1">
        <f t="shared" ca="1" si="3"/>
        <v>-4.3303008668097838E-2</v>
      </c>
      <c r="Q22" s="25">
        <f t="shared" si="4"/>
        <v>37290.906600000002</v>
      </c>
      <c r="R22" s="1">
        <f t="shared" ref="R22:R27" ca="1" si="5">+(O22-G22)^2</f>
        <v>3.6431389997324388E-4</v>
      </c>
    </row>
    <row r="23" spans="1:18" x14ac:dyDescent="0.2">
      <c r="A23" s="9" t="s">
        <v>44</v>
      </c>
      <c r="B23" s="69" t="s">
        <v>45</v>
      </c>
      <c r="C23" s="70">
        <v>53118.693899999998</v>
      </c>
      <c r="D23" s="9">
        <v>2.0000000000000001E-4</v>
      </c>
      <c r="E23" s="1">
        <f t="shared" si="0"/>
        <v>2487.9992873766355</v>
      </c>
      <c r="F23" s="1">
        <f>ROUND(2*E23,0)/2+0.5</f>
        <v>2488.5</v>
      </c>
      <c r="G23" s="1">
        <f t="shared" si="1"/>
        <v>-0.22203200000512879</v>
      </c>
      <c r="I23" s="1">
        <f t="shared" si="2"/>
        <v>-0.22203200000512879</v>
      </c>
      <c r="O23" s="1">
        <f t="shared" ca="1" si="3"/>
        <v>-0.17687895962143538</v>
      </c>
      <c r="Q23" s="25">
        <f t="shared" si="4"/>
        <v>38100.193899999998</v>
      </c>
      <c r="R23" s="1">
        <f t="shared" ca="1" si="5"/>
        <v>2.0387970558914483E-3</v>
      </c>
    </row>
    <row r="24" spans="1:18" x14ac:dyDescent="0.2">
      <c r="A24" s="71" t="s">
        <v>46</v>
      </c>
      <c r="B24" s="49" t="s">
        <v>47</v>
      </c>
      <c r="C24" s="72">
        <v>53410.700299999997</v>
      </c>
      <c r="D24" s="72">
        <v>8.9999999999999998E-4</v>
      </c>
      <c r="E24" s="1">
        <f t="shared" si="0"/>
        <v>3146.51378339857</v>
      </c>
      <c r="F24" s="1">
        <f>ROUND(2*E24,0)/2+0.5</f>
        <v>3147</v>
      </c>
      <c r="G24" s="1">
        <f t="shared" si="1"/>
        <v>-0.21560400000453228</v>
      </c>
      <c r="I24" s="1">
        <f t="shared" si="2"/>
        <v>-0.21560400000453228</v>
      </c>
      <c r="O24" s="1">
        <f t="shared" ca="1" si="3"/>
        <v>-0.22506288934083982</v>
      </c>
      <c r="Q24" s="25">
        <f t="shared" si="4"/>
        <v>38392.200299999997</v>
      </c>
      <c r="R24" s="1">
        <f t="shared" ca="1" si="5"/>
        <v>8.9470587476512406E-5</v>
      </c>
    </row>
    <row r="25" spans="1:18" x14ac:dyDescent="0.2">
      <c r="A25" s="71" t="s">
        <v>46</v>
      </c>
      <c r="B25" s="49" t="s">
        <v>45</v>
      </c>
      <c r="C25" s="72">
        <v>53411.805999999997</v>
      </c>
      <c r="D25" s="72">
        <v>6.9999999999999999E-4</v>
      </c>
      <c r="E25" s="1">
        <f t="shared" si="0"/>
        <v>3149.0072886034268</v>
      </c>
      <c r="F25" s="1">
        <f>ROUND(2*E25,0)/2+0.5</f>
        <v>3149.5</v>
      </c>
      <c r="G25" s="1">
        <f t="shared" si="1"/>
        <v>-0.21848400000453694</v>
      </c>
      <c r="I25" s="1">
        <f t="shared" si="2"/>
        <v>-0.21848400000453694</v>
      </c>
      <c r="O25" s="1">
        <f t="shared" ca="1" si="3"/>
        <v>-0.22524581997758775</v>
      </c>
      <c r="Q25" s="25">
        <f t="shared" si="4"/>
        <v>38393.305999999997</v>
      </c>
      <c r="R25" s="1">
        <f t="shared" ca="1" si="5"/>
        <v>4.5722209347948841E-5</v>
      </c>
    </row>
    <row r="26" spans="1:18" x14ac:dyDescent="0.2">
      <c r="A26" s="71" t="s">
        <v>46</v>
      </c>
      <c r="B26" s="49" t="s">
        <v>47</v>
      </c>
      <c r="C26" s="72">
        <v>53413.798199999997</v>
      </c>
      <c r="D26" s="72">
        <v>5.9999999999999995E-4</v>
      </c>
      <c r="E26" s="1">
        <f t="shared" si="0"/>
        <v>3153.499972938343</v>
      </c>
      <c r="F26" s="1">
        <f>ROUND(2*E26,0)/2+0.5</f>
        <v>3154</v>
      </c>
      <c r="G26" s="1">
        <f t="shared" si="1"/>
        <v>-0.22172800000407733</v>
      </c>
      <c r="I26" s="1">
        <f t="shared" si="2"/>
        <v>-0.22172800000407733</v>
      </c>
      <c r="O26" s="1">
        <f t="shared" ca="1" si="3"/>
        <v>-0.225575095123734</v>
      </c>
      <c r="Q26" s="25">
        <f t="shared" si="4"/>
        <v>38395.298199999997</v>
      </c>
      <c r="R26" s="1">
        <f t="shared" ca="1" si="5"/>
        <v>1.4800140859686154E-5</v>
      </c>
    </row>
    <row r="27" spans="1:18" x14ac:dyDescent="0.2">
      <c r="A27" s="71" t="s">
        <v>46</v>
      </c>
      <c r="B27" s="49" t="s">
        <v>45</v>
      </c>
      <c r="C27" s="72">
        <v>53459.693200000002</v>
      </c>
      <c r="D27" s="72">
        <v>1E-3</v>
      </c>
      <c r="E27" s="1">
        <f t="shared" si="0"/>
        <v>3256.9994948492654</v>
      </c>
      <c r="F27" s="1">
        <f>ROUND(2*E27,0)/2+0.5</f>
        <v>3257.5</v>
      </c>
      <c r="G27" s="1">
        <f t="shared" si="1"/>
        <v>-0.22194000000308733</v>
      </c>
      <c r="I27" s="1">
        <f t="shared" si="2"/>
        <v>-0.22194000000308733</v>
      </c>
      <c r="O27" s="1">
        <f t="shared" ca="1" si="3"/>
        <v>-0.23314842348509826</v>
      </c>
      <c r="Q27" s="25">
        <f t="shared" si="4"/>
        <v>38441.193200000002</v>
      </c>
      <c r="R27" s="1">
        <f t="shared" ca="1" si="5"/>
        <v>1.2562875695209394E-4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2023-01-24T05:48:49Z</dcterms:created>
  <dcterms:modified xsi:type="dcterms:W3CDTF">2023-08-22T07:33:52Z</dcterms:modified>
</cp:coreProperties>
</file>