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9ED1FFE0-31D4-4387-83FF-44B3EB3A38A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J23" i="1" s="1"/>
  <c r="Q23" i="1"/>
  <c r="E22" i="1"/>
  <c r="F22" i="1"/>
  <c r="Q22" i="1"/>
  <c r="G11" i="1"/>
  <c r="F11" i="1"/>
  <c r="E14" i="1"/>
  <c r="E15" i="1" s="1"/>
  <c r="C17" i="1"/>
  <c r="C21" i="1"/>
  <c r="Q21" i="1"/>
  <c r="A21" i="1"/>
  <c r="C7" i="1"/>
  <c r="G22" i="1"/>
  <c r="I22" i="1"/>
  <c r="C8" i="1"/>
  <c r="E21" i="1"/>
  <c r="F21" i="1"/>
  <c r="G21" i="1"/>
  <c r="H21" i="1"/>
  <c r="C12" i="1"/>
  <c r="C16" i="1" l="1"/>
  <c r="D18" i="1" s="1"/>
  <c r="C11" i="1"/>
  <c r="O23" i="1" l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<sst xmlns="http://schemas.openxmlformats.org/spreadsheetml/2006/main" count="53" uniqueCount="50">
  <si>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</si>
  <si>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</si>
  <si>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</si>
  <si>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</si>
  <si>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</si>
  <si>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</si>
  <si>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</si>
  <si>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</si>
  <si>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</si>
  <si>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</si>
  <si>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</si>
  <si>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</si>
  <si>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</si>
  <si>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</si>
  <si>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</si>
  <si>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</si>
  <si>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</si>
  <si>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</si>
  <si>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</si>
  <si>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</si>
  <si>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</si>
  <si>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</si>
  <si>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</si>
  <si>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</si>
  <si>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</si>
  <si>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</si>
  <si>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</si>
  <si>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</si>
  <si>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</si>
  <si>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</si>
  <si>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</si>
  <si>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</si>
  <si>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</si>
  <si>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</si>
  <si>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</si>
  <si>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</si>
  <si>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Sgr</t>
  </si>
  <si>
    <t>EW:</t>
  </si>
  <si>
    <t>IBVS 5686 Eph.</t>
  </si>
  <si>
    <t>IBVS 5686</t>
  </si>
  <si>
    <t>G6842-1237_Sgr.xls</t>
  </si>
  <si>
    <t>V5563 Sgr / GSC 6842-1237</t>
  </si>
  <si>
    <t>Add cycle</t>
  </si>
  <si>
    <t>Old Cycle</t>
  </si>
  <si>
    <t>OEJV 0130</t>
  </si>
  <si>
    <t>I</t>
  </si>
  <si>
    <t>OEJV</t>
  </si>
  <si>
    <t>JBAV, 63</t>
  </si>
  <si>
    <t>II</t>
  </si>
  <si>
    <t>JBAV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</si>
</sst>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4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0" fillId="0" borderId="1" xfId="0" applyFill="1" applyBorder="1" applyAlignment="1">
      <alignment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172" fontId="17" fillId="0" borderId="0" xfId="0" applyNumberFormat="1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V5563 Sgr - O-C Diagr.</a:t>
            </a:r>
          </a:p>
        </c:rich>
      </c:tx>
      <c:layout>
        <c:manualLayout>
          <c:xMode val="edge"/>
          <c:yMode val="edge"/>
          <c:x val="0.3699248120300752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4123</c:v>
                </c:pt>
                <c:pt idx="2">
                  <c:v>10642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641-4CE0-844D-C5B943713DF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4123</c:v>
                </c:pt>
                <c:pt idx="2">
                  <c:v>10642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-1.0225999998510815E-2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641-4CE0-844D-C5B943713DF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4123</c:v>
                </c:pt>
                <c:pt idx="2">
                  <c:v>10642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-3.9203999993333127E-2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641-4CE0-844D-C5B943713DF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4123</c:v>
                </c:pt>
                <c:pt idx="2">
                  <c:v>10642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641-4CE0-844D-C5B943713DF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4123</c:v>
                </c:pt>
                <c:pt idx="2">
                  <c:v>10642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641-4CE0-844D-C5B943713DF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4123</c:v>
                </c:pt>
                <c:pt idx="2">
                  <c:v>10642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641-4CE0-844D-C5B943713DF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3.0000000000000001E-3</c:v>
                  </c:pt>
                  <c:pt idx="2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4123</c:v>
                </c:pt>
                <c:pt idx="2">
                  <c:v>10642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641-4CE0-844D-C5B943713DF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4123</c:v>
                </c:pt>
                <c:pt idx="2">
                  <c:v>10642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1.9929993024670502E-3</c:v>
                </c:pt>
                <c:pt idx="1">
                  <c:v>-1.3479489579252388E-2</c:v>
                </c:pt>
                <c:pt idx="2">
                  <c:v>-3.7943509715058596E-2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641-4CE0-844D-C5B943713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508944"/>
        <c:axId val="1"/>
      </c:scatterChart>
      <c:valAx>
        <c:axId val="7285089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5089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511278195488723"/>
          <c:y val="0.92375366568914952"/>
          <c:w val="0.65563909774436091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5F54D33-BF69-D6B7-F427-370D86755F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selection activeCell="J32" sqref="J3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30"/>
      <c r="F1" s="32" t="s">
        <v>36</v>
      </c>
      <c r="G1" s="30" t="s">
        <v>37</v>
      </c>
      <c r="H1" s="33" t="s">
        <v>38</v>
      </c>
      <c r="I1" s="31">
        <v>52840.576999999997</v>
      </c>
      <c r="J1" s="31">
        <v>0.61726199999999998</v>
      </c>
      <c r="K1" s="34" t="s">
        <v>39</v>
      </c>
      <c r="L1" s="35" t="s">
        <v>40</v>
      </c>
    </row>
    <row r="2" spans="1:12" x14ac:dyDescent="0.2">
      <c r="A2" t="s">
        <v>22</v>
      </c>
      <c r="B2" t="s">
        <v>37</v>
      </c>
      <c r="C2" s="9"/>
      <c r="D2" s="9"/>
    </row>
    <row r="3" spans="1:12" ht="13.5" thickBot="1" x14ac:dyDescent="0.25"/>
    <row r="4" spans="1:12" ht="14.25" thickTop="1" thickBot="1" x14ac:dyDescent="0.25">
      <c r="A4" s="29" t="s">
        <v>38</v>
      </c>
      <c r="C4" s="7">
        <v>52840.576999999997</v>
      </c>
      <c r="D4" s="8">
        <v>0.61726199999999998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52840.576999999997</v>
      </c>
    </row>
    <row r="8" spans="1:12" x14ac:dyDescent="0.2">
      <c r="A8" t="s">
        <v>2</v>
      </c>
      <c r="C8">
        <f>+D4</f>
        <v>0.61726199999999998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4">
        <f ca="1">INTERCEPT(INDIRECT($G$11):G992,INDIRECT($F$11):F992)</f>
        <v>1.9929993024670502E-3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SLOPE(INDIRECT($G$11):G992,INDIRECT($F$11):F992)</f>
        <v>-3.7527258990345472E-6</v>
      </c>
      <c r="D12" s="13"/>
      <c r="E12" s="11"/>
    </row>
    <row r="13" spans="1:12" x14ac:dyDescent="0.2">
      <c r="A13" s="11" t="s">
        <v>17</v>
      </c>
      <c r="B13" s="11"/>
      <c r="C13" s="13" t="s">
        <v>12</v>
      </c>
      <c r="D13" s="16" t="s">
        <v>42</v>
      </c>
      <c r="E13" s="12">
        <v>1</v>
      </c>
    </row>
    <row r="14" spans="1:12" x14ac:dyDescent="0.2">
      <c r="A14" s="11"/>
      <c r="B14" s="11"/>
      <c r="C14" s="11"/>
      <c r="D14" s="16" t="s">
        <v>31</v>
      </c>
      <c r="E14" s="17">
        <f ca="1">NOW()+15018.5+$C$9/24</f>
        <v>59968.813862384253</v>
      </c>
    </row>
    <row r="15" spans="1:12" x14ac:dyDescent="0.2">
      <c r="A15" s="14" t="s">
        <v>16</v>
      </c>
      <c r="B15" s="11"/>
      <c r="C15" s="15">
        <f ca="1">(C7+C11)+(C8+C12)*INT(MAX(F21:F3533))</f>
        <v>59409.441260490275</v>
      </c>
      <c r="D15" s="16" t="s">
        <v>43</v>
      </c>
      <c r="E15" s="17">
        <f ca="1">ROUND(2*(E14-$C$7)/$C$8,0)/2+E13</f>
        <v>11549</v>
      </c>
    </row>
    <row r="16" spans="1:12" x14ac:dyDescent="0.2">
      <c r="A16" s="18" t="s">
        <v>3</v>
      </c>
      <c r="B16" s="11"/>
      <c r="C16" s="19">
        <f ca="1">+C8+C12</f>
        <v>0.61725824727410095</v>
      </c>
      <c r="D16" s="16" t="s">
        <v>32</v>
      </c>
      <c r="E16" s="26">
        <f ca="1">ROUND(2*(E14-$C$15)/$C$16,0)/2+E13</f>
        <v>907</v>
      </c>
    </row>
    <row r="17" spans="1:17" ht="13.5" thickBot="1" x14ac:dyDescent="0.25">
      <c r="A17" s="16" t="s">
        <v>28</v>
      </c>
      <c r="B17" s="11"/>
      <c r="C17" s="11">
        <f>COUNT(C21:C2191)</f>
        <v>3</v>
      </c>
      <c r="D17" s="16" t="s">
        <v>33</v>
      </c>
      <c r="E17" s="20">
        <f ca="1">+$C$15+$C$16*E16-15018.5-$C$9/24</f>
        <v>44951.190324101219</v>
      </c>
    </row>
    <row r="18" spans="1:17" ht="14.25" thickTop="1" thickBot="1" x14ac:dyDescent="0.25">
      <c r="A18" s="18" t="s">
        <v>4</v>
      </c>
      <c r="B18" s="11"/>
      <c r="C18" s="21">
        <f ca="1">+C15</f>
        <v>59409.441260490275</v>
      </c>
      <c r="D18" s="22">
        <f ca="1">+C16</f>
        <v>0.61725824727410095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46</v>
      </c>
      <c r="J20" s="6" t="s">
        <v>49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17" x14ac:dyDescent="0.2">
      <c r="A21" t="str">
        <f>$K$1</f>
        <v>IBVS 5686</v>
      </c>
      <c r="C21" s="9">
        <f>+$C$4</f>
        <v>52840.576999999997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1.9929993024670502E-3</v>
      </c>
      <c r="Q21" s="2">
        <f>+C21-15018.5</f>
        <v>37822.076999999997</v>
      </c>
    </row>
    <row r="22" spans="1:17" x14ac:dyDescent="0.2">
      <c r="A22" s="36" t="s">
        <v>44</v>
      </c>
      <c r="B22" s="37" t="s">
        <v>45</v>
      </c>
      <c r="C22" s="38">
        <v>55385.538</v>
      </c>
      <c r="D22" s="38">
        <v>3.0000000000000001E-3</v>
      </c>
      <c r="E22">
        <f>+(C22-C$7)/C$8</f>
        <v>4122.9834332908931</v>
      </c>
      <c r="F22">
        <f>ROUND(2*E22,0)/2</f>
        <v>4123</v>
      </c>
      <c r="G22">
        <f>+C22-(C$7+F22*C$8)</f>
        <v>-1.0225999998510815E-2</v>
      </c>
      <c r="I22">
        <f>+G22</f>
        <v>-1.0225999998510815E-2</v>
      </c>
      <c r="O22">
        <f ca="1">+C$11+C$12*$F22</f>
        <v>-1.3479489579252388E-2</v>
      </c>
      <c r="Q22" s="2">
        <f>+C22-15018.5</f>
        <v>40367.038</v>
      </c>
    </row>
    <row r="23" spans="1:17" x14ac:dyDescent="0.2">
      <c r="A23" s="39" t="s">
        <v>47</v>
      </c>
      <c r="B23" s="40" t="s">
        <v>48</v>
      </c>
      <c r="C23" s="41">
        <v>59409.440000000002</v>
      </c>
      <c r="D23" s="39">
        <v>8.0000000000000002E-3</v>
      </c>
      <c r="E23">
        <f>+(C23-C$7)/C$8</f>
        <v>10641.936487261495</v>
      </c>
      <c r="F23">
        <f>ROUND(2*E23,0)/2</f>
        <v>10642</v>
      </c>
      <c r="G23">
        <f>+C23-(C$7+F23*C$8)</f>
        <v>-3.9203999993333127E-2</v>
      </c>
      <c r="J23">
        <f>+G23</f>
        <v>-3.9203999993333127E-2</v>
      </c>
      <c r="O23">
        <f ca="1">+C$11+C$12*$F23</f>
        <v>-3.7943509715058596E-2</v>
      </c>
      <c r="Q23" s="2">
        <f>+C23-15018.5</f>
        <v>44390.94</v>
      </c>
    </row>
    <row r="24" spans="1:17" x14ac:dyDescent="0.2">
      <c r="Q24" s="2"/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2023-01-24T06:31:57Z</dcterms:modified>
</cp:coreProperties>
</file>