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8FBE5AE-B5EA-4365-A6C3-5AF0DBBD5FDA}" xr6:coauthVersionLast="47" xr6:coauthVersionMax="47" xr10:uidLastSave="{00000000-0000-0000-0000-000000000000}"/>
  <bookViews>
    <workbookView xWindow="13995" yWindow="30" windowWidth="13590" windowHeight="1459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0" i="1" l="1"/>
  <c r="F40" i="1" s="1"/>
  <c r="G40" i="1" s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/>
  <c r="G43" i="1"/>
  <c r="K43" i="1" s="1"/>
  <c r="Q43" i="1"/>
  <c r="E38" i="1"/>
  <c r="F38" i="1" s="1"/>
  <c r="G38" i="1" s="1"/>
  <c r="K38" i="1" s="1"/>
  <c r="Q38" i="1"/>
  <c r="E39" i="1"/>
  <c r="F39" i="1"/>
  <c r="G39" i="1" s="1"/>
  <c r="K39" i="1" s="1"/>
  <c r="Q39" i="1"/>
  <c r="E37" i="1"/>
  <c r="F37" i="1"/>
  <c r="G37" i="1"/>
  <c r="K37" i="1"/>
  <c r="Q37" i="1"/>
  <c r="E27" i="1"/>
  <c r="F27" i="1"/>
  <c r="G27" i="1"/>
  <c r="K27" i="1"/>
  <c r="E31" i="1"/>
  <c r="F31" i="1"/>
  <c r="G31" i="1"/>
  <c r="K31" i="1"/>
  <c r="E21" i="1"/>
  <c r="F21" i="1"/>
  <c r="G21" i="1"/>
  <c r="J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8" i="1"/>
  <c r="F28" i="1"/>
  <c r="G28" i="1"/>
  <c r="K28" i="1"/>
  <c r="E29" i="1"/>
  <c r="F29" i="1"/>
  <c r="G29" i="1"/>
  <c r="K29" i="1"/>
  <c r="E30" i="1"/>
  <c r="F30" i="1"/>
  <c r="G30" i="1"/>
  <c r="K30" i="1"/>
  <c r="E32" i="1"/>
  <c r="F32" i="1"/>
  <c r="G32" i="1"/>
  <c r="J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D9" i="1"/>
  <c r="C9" i="1"/>
  <c r="Q27" i="1"/>
  <c r="Q31" i="1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26" i="2"/>
  <c r="C26" i="2"/>
  <c r="E26" i="2"/>
  <c r="G19" i="2"/>
  <c r="C19" i="2"/>
  <c r="E19" i="2"/>
  <c r="G18" i="2"/>
  <c r="C18" i="2"/>
  <c r="E18" i="2"/>
  <c r="G17" i="2"/>
  <c r="C17" i="2"/>
  <c r="E17" i="2"/>
  <c r="G25" i="2"/>
  <c r="C25" i="2"/>
  <c r="E25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26" i="2"/>
  <c r="B26" i="2"/>
  <c r="D26" i="2"/>
  <c r="A26" i="2"/>
  <c r="H19" i="2"/>
  <c r="D19" i="2"/>
  <c r="B19" i="2"/>
  <c r="A19" i="2"/>
  <c r="H18" i="2"/>
  <c r="B18" i="2"/>
  <c r="D18" i="2"/>
  <c r="A18" i="2"/>
  <c r="H17" i="2"/>
  <c r="D17" i="2"/>
  <c r="B17" i="2"/>
  <c r="A17" i="2"/>
  <c r="H25" i="2"/>
  <c r="B25" i="2"/>
  <c r="D25" i="2"/>
  <c r="A25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36" i="1"/>
  <c r="Q24" i="1"/>
  <c r="Q25" i="1"/>
  <c r="Q26" i="1"/>
  <c r="Q32" i="1"/>
  <c r="Q35" i="1"/>
  <c r="Q33" i="1"/>
  <c r="F16" i="1"/>
  <c r="F17" i="1" s="1"/>
  <c r="C17" i="1"/>
  <c r="Q34" i="1"/>
  <c r="Q21" i="1"/>
  <c r="Q22" i="1"/>
  <c r="Q23" i="1"/>
  <c r="Q28" i="1"/>
  <c r="Q29" i="1"/>
  <c r="Q30" i="1"/>
  <c r="C11" i="1"/>
  <c r="C12" i="1"/>
  <c r="O42" i="1" l="1"/>
  <c r="O41" i="1"/>
  <c r="O40" i="1"/>
  <c r="O43" i="1"/>
  <c r="O39" i="1"/>
  <c r="O38" i="1"/>
  <c r="C16" i="1"/>
  <c r="D18" i="1" s="1"/>
  <c r="C15" i="1"/>
  <c r="O23" i="1"/>
  <c r="O25" i="1"/>
  <c r="O34" i="1"/>
  <c r="O24" i="1"/>
  <c r="O36" i="1"/>
  <c r="O31" i="1"/>
  <c r="O27" i="1"/>
  <c r="O22" i="1"/>
  <c r="O21" i="1"/>
  <c r="O30" i="1"/>
  <c r="O28" i="1"/>
  <c r="O26" i="1"/>
  <c r="O32" i="1"/>
  <c r="O35" i="1"/>
  <c r="O37" i="1"/>
  <c r="O33" i="1"/>
  <c r="O29" i="1"/>
  <c r="F18" i="1" l="1"/>
  <c r="F19" i="1" s="1"/>
  <c r="C18" i="1"/>
</calcChain>
</file>

<file path=xl/sharedStrings.xml><?xml version="1.0" encoding="utf-8"?>
<sst xmlns="http://schemas.openxmlformats.org/spreadsheetml/2006/main" count="239" uniqueCount="147">
  <si>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</si>
  <si>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</si>
  <si>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</si>
  <si>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</si>
  <si>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</si>
  <si>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</si>
  <si>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</si>
  <si>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</si>
  <si>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</si>
  <si>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</si>
  <si>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</si>
  <si>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</si>
  <si>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</si>
  <si>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</si>
  <si>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</si>
  <si>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</si>
  <si>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</si>
  <si>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</si>
  <si>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</si>
  <si>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</si>
  <si>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</si>
  <si>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</si>
  <si>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</si>
  <si>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</si>
  <si>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</si>
  <si>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</si>
  <si>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</si>
  <si>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</si>
  <si>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</si>
  <si>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</si>
  <si>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</si>
  <si>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</si>
  <si>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</si>
  <si>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</si>
  <si>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V1112 Tau / GSC 0669-1442</t>
  </si>
  <si>
    <t>IBVS 4712</t>
  </si>
  <si>
    <t>I</t>
  </si>
  <si>
    <t>IBVS 5653</t>
  </si>
  <si>
    <t>IBVS 5871</t>
  </si>
  <si>
    <t>II</t>
  </si>
  <si>
    <t>not avail.</t>
  </si>
  <si>
    <t>Kreiner</t>
  </si>
  <si>
    <t>NSV 1651</t>
  </si>
  <si>
    <t>IBVS 4562</t>
  </si>
  <si>
    <t>EW</t>
  </si>
  <si>
    <t>Add cycle</t>
  </si>
  <si>
    <t>Old Cycle</t>
  </si>
  <si>
    <t>IBVS 5966</t>
  </si>
  <si>
    <t>IBVS 5960</t>
  </si>
  <si>
    <t>IBVS 5918</t>
  </si>
  <si>
    <t>IBVS 6011</t>
  </si>
  <si>
    <t>IBVS 6063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</si>
  <si>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</si>
  <si>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</si>
  <si>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</si>
  <si>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</si>
  <si>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</si>
  <si>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</si>
  <si>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</si>
  <si>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</si>
  <si>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</si>
  <si>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</si>
  <si>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</si>
  <si>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</si>
  <si>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2450381.6571 </t>
  </si>
  <si>
    <t> 25.10.1996 03:46 </t>
  </si>
  <si>
    <t> 0.0038 </t>
  </si>
  <si>
    <t>E </t>
  </si>
  <si>
    <t>o</t>
  </si>
  <si>
    <t> W.Moschner </t>
  </si>
  <si>
    <t>BAVM 102 </t>
  </si>
  <si>
    <t>2450457.3057 </t>
  </si>
  <si>
    <t> 08.01.1997 19:20 </t>
  </si>
  <si>
    <t> -0.0022 </t>
  </si>
  <si>
    <t>2450464.3023 </t>
  </si>
  <si>
    <t> 15.01.1997 19:15 </t>
  </si>
  <si>
    <t> 0.0011 </t>
  </si>
  <si>
    <t>BAVM 118 </t>
  </si>
  <si>
    <t>2450465.3591 </t>
  </si>
  <si>
    <t> 16.01.1997 20:37 </t>
  </si>
  <si>
    <t> -0.0017 </t>
  </si>
  <si>
    <t> W.Kleikamp </t>
  </si>
  <si>
    <t>2450841.2966 </t>
  </si>
  <si>
    <t> 27.01.1998 19:07 </t>
  </si>
  <si>
    <t> -0.0065 </t>
  </si>
  <si>
    <t>2451140.5268 </t>
  </si>
  <si>
    <t> 23.11.1998 00:38 </t>
  </si>
  <si>
    <t> -0.0043 </t>
  </si>
  <si>
    <t>-I</t>
  </si>
  <si>
    <t>2452296.542 </t>
  </si>
  <si>
    <t> 22.01.2002 01:00 </t>
  </si>
  <si>
    <t>-480.5</t>
  </si>
  <si>
    <t> -0.001 </t>
  </si>
  <si>
    <t>?</t>
  </si>
  <si>
    <t> R.Diethelm </t>
  </si>
  <si>
    <t> BBS 127 </t>
  </si>
  <si>
    <t>2453381.359 </t>
  </si>
  <si>
    <t> 10.01.2005 20:36 </t>
  </si>
  <si>
    <t>2079</t>
  </si>
  <si>
    <t> 0.009 </t>
  </si>
  <si>
    <t>IBVS 5653 </t>
  </si>
  <si>
    <t>2454756.9081 </t>
  </si>
  <si>
    <t> 17.10.2008 09:47 </t>
  </si>
  <si>
    <t>5324.5</t>
  </si>
  <si>
    <t> -0.0011 </t>
  </si>
  <si>
    <t>C </t>
  </si>
  <si>
    <t>B</t>
  </si>
  <si>
    <t>IBVS 5871 </t>
  </si>
  <si>
    <t>2454774.919 </t>
  </si>
  <si>
    <t> 04.11.2008 10:03 </t>
  </si>
  <si>
    <t>5367</t>
  </si>
  <si>
    <t>2454814.3401 </t>
  </si>
  <si>
    <t> 13.12.2008 20:09 </t>
  </si>
  <si>
    <t>5460</t>
  </si>
  <si>
    <t> 0.0012 </t>
  </si>
  <si>
    <t> U.Schmidt </t>
  </si>
  <si>
    <t>BAVM 203 </t>
  </si>
  <si>
    <t>2454860.3314 </t>
  </si>
  <si>
    <t> 28.01.2009 19:57 </t>
  </si>
  <si>
    <t>5568.5</t>
  </si>
  <si>
    <t> 0.0063 </t>
  </si>
  <si>
    <t> W.Moschner &amp; P.Frank </t>
  </si>
  <si>
    <t>BAVM 209 </t>
  </si>
  <si>
    <t>2455502.8711 </t>
  </si>
  <si>
    <t> 02.11.2010 08:54 </t>
  </si>
  <si>
    <t>7084.5</t>
  </si>
  <si>
    <t> 0.0111 </t>
  </si>
  <si>
    <t>IBVS 5960 </t>
  </si>
  <si>
    <t>2455553.7278 </t>
  </si>
  <si>
    <t> 23.12.2010 05:28 </t>
  </si>
  <si>
    <t>7204.5</t>
  </si>
  <si>
    <t> 0.0075 </t>
  </si>
  <si>
    <t> R.Nelson </t>
  </si>
  <si>
    <t>IBVS 5966 </t>
  </si>
  <si>
    <t>2455868.8482 </t>
  </si>
  <si>
    <t> 03.11.2011 08:21 </t>
  </si>
  <si>
    <t>7948</t>
  </si>
  <si>
    <t> 0.0061 </t>
  </si>
  <si>
    <t>IBVS 6011 </t>
  </si>
  <si>
    <t>2456310.6961 </t>
  </si>
  <si>
    <t> 18.01.2013 04:42 </t>
  </si>
  <si>
    <t>8990.5</t>
  </si>
  <si>
    <t> 0.0052 </t>
  </si>
  <si>
    <t>IBVS 6063 </t>
  </si>
  <si>
    <t>IBVS 6196</t>
  </si>
  <si>
    <t>JBAV, 60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</si>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</sst>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center"/>
    </xf>
    <xf numFmtId="14" fontId="14" fillId="0" borderId="0" xfId="0" applyNumberFormat="1" applyFont="1" applyAlignment="1"/>
    <xf numFmtId="0" fontId="14" fillId="0" borderId="0" xfId="0" applyFont="1" applyAlignment="1">
      <alignment horizontal="left" wrapText="1"/>
    </xf>
    <xf numFmtId="0" fontId="1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vertical="center" wrapText="1"/>
    </xf>
    <xf numFmtId="165" fontId="36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V1112 Tau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D0-49ED-A0F5-D71231DBEA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D0-49ED-A0F5-D71231DBEA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0</c:v>
                </c:pt>
                <c:pt idx="1">
                  <c:v>-6.0136163228889927E-3</c:v>
                </c:pt>
                <c:pt idx="2">
                  <c:v>-2.6972279083565809E-3</c:v>
                </c:pt>
                <c:pt idx="3">
                  <c:v>-5.4856539136380889E-3</c:v>
                </c:pt>
                <c:pt idx="4">
                  <c:v>-9.9591983380378224E-3</c:v>
                </c:pt>
                <c:pt idx="5">
                  <c:v>-7.530700444476679E-3</c:v>
                </c:pt>
                <c:pt idx="11">
                  <c:v>5.9409876412246376E-3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D0-49ED-A0F5-D71231DBEA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6">
                  <c:v>-3.3034652951755561E-3</c:v>
                </c:pt>
                <c:pt idx="7">
                  <c:v>7.0659969715052284E-3</c:v>
                </c:pt>
                <c:pt idx="8">
                  <c:v>-1.5286348643712699E-3</c:v>
                </c:pt>
                <c:pt idx="9">
                  <c:v>-3.6318768397904932E-3</c:v>
                </c:pt>
                <c:pt idx="10">
                  <c:v>7.7867599611636251E-4</c:v>
                </c:pt>
                <c:pt idx="12">
                  <c:v>1.1219461877772119E-2</c:v>
                </c:pt>
                <c:pt idx="13">
                  <c:v>7.6750139269279316E-3</c:v>
                </c:pt>
                <c:pt idx="14">
                  <c:v>6.4771218385430984E-3</c:v>
                </c:pt>
                <c:pt idx="15">
                  <c:v>6.0034802809241228E-3</c:v>
                </c:pt>
                <c:pt idx="16">
                  <c:v>1.5937944917823188E-2</c:v>
                </c:pt>
                <c:pt idx="17">
                  <c:v>2.6811980009370018E-2</c:v>
                </c:pt>
                <c:pt idx="18">
                  <c:v>2.8404556251189206E-2</c:v>
                </c:pt>
                <c:pt idx="19">
                  <c:v>2.8754921120707877E-2</c:v>
                </c:pt>
                <c:pt idx="20">
                  <c:v>2.7223716737353243E-2</c:v>
                </c:pt>
                <c:pt idx="21">
                  <c:v>3.1474454379349481E-2</c:v>
                </c:pt>
                <c:pt idx="22">
                  <c:v>3.9527494205685798E-2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D0-49ED-A0F5-D71231DBEA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D0-49ED-A0F5-D71231DBEA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D0-49ED-A0F5-D71231DBEA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D0-49ED-A0F5-D71231DBEA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-9.5281238058074792E-3</c:v>
                </c:pt>
                <c:pt idx="1">
                  <c:v>-9.2321123393117772E-3</c:v>
                </c:pt>
                <c:pt idx="2">
                  <c:v>-9.2047499348457875E-3</c:v>
                </c:pt>
                <c:pt idx="3">
                  <c:v>-9.2006041159873042E-3</c:v>
                </c:pt>
                <c:pt idx="4">
                  <c:v>-7.7296675849974593E-3</c:v>
                </c:pt>
                <c:pt idx="5">
                  <c:v>-6.5588883393617996E-3</c:v>
                </c:pt>
                <c:pt idx="6">
                  <c:v>-2.0357999647566093E-3</c:v>
                </c:pt>
                <c:pt idx="7">
                  <c:v>2.208689382558509E-3</c:v>
                </c:pt>
                <c:pt idx="8">
                  <c:v>7.5907914246414222E-3</c:v>
                </c:pt>
                <c:pt idx="9">
                  <c:v>7.6612703452356365E-3</c:v>
                </c:pt>
                <c:pt idx="10">
                  <c:v>7.8154948067712116E-3</c:v>
                </c:pt>
                <c:pt idx="11">
                  <c:v>7.9954233452293813E-3</c:v>
                </c:pt>
                <c:pt idx="12">
                  <c:v>1.0509447901013606E-2</c:v>
                </c:pt>
                <c:pt idx="13">
                  <c:v>1.07084472062208E-2</c:v>
                </c:pt>
                <c:pt idx="14">
                  <c:v>1.1941413734733709E-2</c:v>
                </c:pt>
                <c:pt idx="15">
                  <c:v>1.367022019872121E-2</c:v>
                </c:pt>
                <c:pt idx="16">
                  <c:v>1.7780385015021473E-2</c:v>
                </c:pt>
                <c:pt idx="17">
                  <c:v>2.5250321434236531E-2</c:v>
                </c:pt>
                <c:pt idx="18">
                  <c:v>2.6178984858536775E-2</c:v>
                </c:pt>
                <c:pt idx="19">
                  <c:v>2.6490750436694712E-2</c:v>
                </c:pt>
                <c:pt idx="20">
                  <c:v>2.6529721133964453E-2</c:v>
                </c:pt>
                <c:pt idx="21">
                  <c:v>2.6705503853564145E-2</c:v>
                </c:pt>
                <c:pt idx="22">
                  <c:v>2.7598513235681427E-2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D0-49ED-A0F5-D71231DB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806816"/>
        <c:axId val="1"/>
      </c:scatterChart>
      <c:valAx>
        <c:axId val="879806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806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165413533834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A9883B-543F-3424-107E-26BA7AA59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71" TargetMode="External"/><Relationship Id="rId13" Type="http://schemas.openxmlformats.org/officeDocument/2006/relationships/hyperlink" Target="http://www.konkoly.hu/cgi-bin/IBVS?5966" TargetMode="External"/><Relationship Id="rId3" Type="http://schemas.openxmlformats.org/officeDocument/2006/relationships/hyperlink" Target="http://www.bav-astro.de/sfs/BAVM_link.php?BAVMnr=118" TargetMode="External"/><Relationship Id="rId7" Type="http://schemas.openxmlformats.org/officeDocument/2006/relationships/hyperlink" Target="http://www.konkoly.hu/cgi-bin/IBVS?5653" TargetMode="External"/><Relationship Id="rId12" Type="http://schemas.openxmlformats.org/officeDocument/2006/relationships/hyperlink" Target="http://www.konkoly.hu/cgi-bin/IBVS?5960" TargetMode="External"/><Relationship Id="rId2" Type="http://schemas.openxmlformats.org/officeDocument/2006/relationships/hyperlink" Target="http://www.bav-astro.de/sfs/BAVM_link.php?BAVMnr=102" TargetMode="External"/><Relationship Id="rId1" Type="http://schemas.openxmlformats.org/officeDocument/2006/relationships/hyperlink" Target="http://www.bav-astro.de/sfs/BAVM_link.php?BAVMnr=102" TargetMode="External"/><Relationship Id="rId6" Type="http://schemas.openxmlformats.org/officeDocument/2006/relationships/hyperlink" Target="http://www.bav-astro.de/sfs/BAVM_link.php?BAVMnr=118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18" TargetMode="External"/><Relationship Id="rId15" Type="http://schemas.openxmlformats.org/officeDocument/2006/relationships/hyperlink" Target="http://www.konkoly.hu/cgi-bin/IBVS?6063" TargetMode="External"/><Relationship Id="rId10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02" TargetMode="External"/><Relationship Id="rId9" Type="http://schemas.openxmlformats.org/officeDocument/2006/relationships/hyperlink" Target="http://www.konkoly.hu/cgi-bin/IBVS?5871" TargetMode="External"/><Relationship Id="rId1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x14ac:dyDescent="0.2">
      <c r="A2" t="s">
        <v>23</v>
      </c>
      <c r="B2" t="s">
        <v>44</v>
      </c>
      <c r="C2" s="2" t="s">
        <v>42</v>
      </c>
      <c r="D2" s="2"/>
    </row>
    <row r="3" spans="1:6" ht="13.5" thickBot="1" x14ac:dyDescent="0.25"/>
    <row r="4" spans="1:6" ht="14.25" thickTop="1" thickBot="1" x14ac:dyDescent="0.25">
      <c r="A4" s="4" t="s">
        <v>0</v>
      </c>
      <c r="C4" s="7" t="s">
        <v>40</v>
      </c>
      <c r="D4" s="8" t="s">
        <v>40</v>
      </c>
    </row>
    <row r="5" spans="1:6" ht="13.5" thickTop="1" x14ac:dyDescent="0.2">
      <c r="A5" s="10" t="s">
        <v>28</v>
      </c>
      <c r="B5" s="11"/>
      <c r="C5" s="12">
        <v>-9.5</v>
      </c>
      <c r="D5" s="11" t="s">
        <v>29</v>
      </c>
    </row>
    <row r="6" spans="1:6" x14ac:dyDescent="0.2">
      <c r="A6" s="4" t="s">
        <v>1</v>
      </c>
    </row>
    <row r="7" spans="1:6" x14ac:dyDescent="0.2">
      <c r="A7" t="s">
        <v>2</v>
      </c>
      <c r="C7">
        <v>50381.657099999997</v>
      </c>
      <c r="D7" s="27"/>
    </row>
    <row r="8" spans="1:6" x14ac:dyDescent="0.2">
      <c r="A8" t="s">
        <v>3</v>
      </c>
      <c r="C8">
        <v>0.42383537039958002</v>
      </c>
      <c r="D8" s="27" t="s">
        <v>41</v>
      </c>
    </row>
    <row r="9" spans="1:6" x14ac:dyDescent="0.2">
      <c r="A9" s="25" t="s">
        <v>33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6" x14ac:dyDescent="0.2">
      <c r="A11" s="11" t="s">
        <v>15</v>
      </c>
      <c r="B11" s="11"/>
      <c r="C11" s="22">
        <f ca="1">INTERCEPT(INDIRECT($D$9):G992,INDIRECT($C$9):F992)</f>
        <v>-9.5281238058074792E-3</v>
      </c>
      <c r="D11" s="2"/>
      <c r="E11" s="11"/>
    </row>
    <row r="12" spans="1:6" x14ac:dyDescent="0.2">
      <c r="A12" s="11" t="s">
        <v>16</v>
      </c>
      <c r="B12" s="11"/>
      <c r="C12" s="22">
        <f ca="1">SLOPE(INDIRECT($D$9):G992,INDIRECT($C$9):F992)</f>
        <v>1.6583275433932869E-6</v>
      </c>
      <c r="D12" s="2"/>
      <c r="E12" s="11"/>
    </row>
    <row r="13" spans="1:6" x14ac:dyDescent="0.2">
      <c r="A13" s="11" t="s">
        <v>18</v>
      </c>
      <c r="B13" s="11"/>
      <c r="C13" s="2" t="s">
        <v>13</v>
      </c>
    </row>
    <row r="14" spans="1:6" x14ac:dyDescent="0.2">
      <c r="A14" s="11"/>
      <c r="B14" s="11"/>
      <c r="C14" s="11"/>
    </row>
    <row r="15" spans="1:6" x14ac:dyDescent="0.2">
      <c r="A15" s="13" t="s">
        <v>17</v>
      </c>
      <c r="B15" s="11"/>
      <c r="C15" s="14">
        <f ca="1">(C7+C11)+(C8+C12)*INT(MAX(F21:F3533))</f>
        <v>59870.51097101903</v>
      </c>
      <c r="E15" s="15" t="s">
        <v>45</v>
      </c>
      <c r="F15" s="12">
        <v>1</v>
      </c>
    </row>
    <row r="16" spans="1:6" x14ac:dyDescent="0.2">
      <c r="A16" s="17" t="s">
        <v>4</v>
      </c>
      <c r="B16" s="11"/>
      <c r="C16" s="18">
        <f ca="1">+C8+C12</f>
        <v>0.42383702872712342</v>
      </c>
      <c r="E16" s="15" t="s">
        <v>30</v>
      </c>
      <c r="F16" s="16">
        <f ca="1">NOW()+15018.5+$C$5/24</f>
        <v>60173.835674305556</v>
      </c>
    </row>
    <row r="17" spans="1:17" ht="13.5" thickBot="1" x14ac:dyDescent="0.25">
      <c r="A17" s="15" t="s">
        <v>27</v>
      </c>
      <c r="B17" s="11"/>
      <c r="C17" s="11">
        <f>COUNT(C21:C2191)</f>
        <v>23</v>
      </c>
      <c r="E17" s="15" t="s">
        <v>46</v>
      </c>
      <c r="F17" s="16">
        <f ca="1">ROUND(2*(F16-$C$7)/$C$8,0)/2+F15</f>
        <v>23104.5</v>
      </c>
    </row>
    <row r="18" spans="1:17" ht="14.25" thickTop="1" thickBot="1" x14ac:dyDescent="0.25">
      <c r="A18" s="17" t="s">
        <v>5</v>
      </c>
      <c r="B18" s="11"/>
      <c r="C18" s="20">
        <f ca="1">+C15</f>
        <v>59870.51097101903</v>
      </c>
      <c r="D18" s="21">
        <f ca="1">+C16</f>
        <v>0.42383702872712342</v>
      </c>
      <c r="E18" s="15" t="s">
        <v>31</v>
      </c>
      <c r="F18" s="24">
        <f ca="1">ROUND(2*(F16-$C$15)/$C$16,0)/2+F15</f>
        <v>716.5</v>
      </c>
    </row>
    <row r="19" spans="1:17" ht="13.5" thickTop="1" x14ac:dyDescent="0.2">
      <c r="E19" s="15" t="s">
        <v>32</v>
      </c>
      <c r="F19" s="19">
        <f ca="1">+$C$15+$C$16*F18-15018.5-$C$5/24</f>
        <v>45156.08603543535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59</v>
      </c>
      <c r="I20" s="6" t="s">
        <v>62</v>
      </c>
      <c r="J20" s="6" t="s">
        <v>56</v>
      </c>
      <c r="K20" s="6" t="s">
        <v>54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</row>
    <row r="21" spans="1:17" x14ac:dyDescent="0.2">
      <c r="A21" s="32" t="s">
        <v>43</v>
      </c>
      <c r="B21" s="29"/>
      <c r="C21" s="31">
        <v>50381.657099999997</v>
      </c>
      <c r="D21" s="31">
        <v>3.7000000000000002E-3</v>
      </c>
      <c r="E21" s="28">
        <f t="shared" ref="E21:E36" si="0">+(C21-C$7)/C$8</f>
        <v>0</v>
      </c>
      <c r="F21" s="28">
        <f t="shared" ref="F21:F37" si="1">ROUND(2*E21,0)/2</f>
        <v>0</v>
      </c>
      <c r="G21" s="28">
        <f t="shared" ref="G21:G36" si="2">+C21-(C$7+F21*C$8)</f>
        <v>0</v>
      </c>
      <c r="H21" s="28"/>
      <c r="I21" s="28"/>
      <c r="J21" s="28">
        <f t="shared" ref="J21:J26" si="3">+G21</f>
        <v>0</v>
      </c>
      <c r="L21" s="28"/>
      <c r="M21" s="28"/>
      <c r="N21" s="28"/>
      <c r="O21" s="28">
        <f t="shared" ref="O21:O36" ca="1" si="4">+C$11+C$12*$F21</f>
        <v>-9.5281238058074792E-3</v>
      </c>
      <c r="P21" s="28"/>
      <c r="Q21" s="30">
        <f t="shared" ref="Q21:Q36" si="5">+C21-15018.5</f>
        <v>35363.157099999997</v>
      </c>
    </row>
    <row r="22" spans="1:17" x14ac:dyDescent="0.2">
      <c r="A22" s="33" t="s">
        <v>43</v>
      </c>
      <c r="B22" s="33"/>
      <c r="C22" s="34">
        <v>50457.305699999997</v>
      </c>
      <c r="D22" s="34">
        <v>3.0999999999999999E-3</v>
      </c>
      <c r="E22" s="33">
        <f t="shared" si="0"/>
        <v>178.48581143353155</v>
      </c>
      <c r="F22" s="28">
        <f t="shared" si="1"/>
        <v>178.5</v>
      </c>
      <c r="G22" s="28">
        <f t="shared" si="2"/>
        <v>-6.0136163228889927E-3</v>
      </c>
      <c r="H22" s="28"/>
      <c r="I22" s="28"/>
      <c r="J22" s="28">
        <f t="shared" si="3"/>
        <v>-6.0136163228889927E-3</v>
      </c>
      <c r="L22" s="28"/>
      <c r="M22" s="28"/>
      <c r="N22" s="28"/>
      <c r="O22" s="28">
        <f t="shared" ca="1" si="4"/>
        <v>-9.2321123393117772E-3</v>
      </c>
      <c r="P22" s="28"/>
      <c r="Q22" s="30">
        <f t="shared" si="5"/>
        <v>35438.805699999997</v>
      </c>
    </row>
    <row r="23" spans="1:17" x14ac:dyDescent="0.2">
      <c r="A23" s="33" t="s">
        <v>35</v>
      </c>
      <c r="B23" s="35" t="s">
        <v>36</v>
      </c>
      <c r="C23" s="36">
        <v>50464.302300000003</v>
      </c>
      <c r="D23" s="36">
        <v>1.1000000000000001E-3</v>
      </c>
      <c r="E23" s="33">
        <f t="shared" si="0"/>
        <v>194.99363614247375</v>
      </c>
      <c r="F23" s="28">
        <f t="shared" si="1"/>
        <v>195</v>
      </c>
      <c r="G23" s="28">
        <f t="shared" si="2"/>
        <v>-2.6972279083565809E-3</v>
      </c>
      <c r="H23" s="28"/>
      <c r="I23" s="28"/>
      <c r="J23" s="28">
        <f t="shared" si="3"/>
        <v>-2.6972279083565809E-3</v>
      </c>
      <c r="L23" s="28"/>
      <c r="M23" s="28"/>
      <c r="N23" s="28"/>
      <c r="O23" s="28">
        <f t="shared" ca="1" si="4"/>
        <v>-9.2047499348457875E-3</v>
      </c>
      <c r="P23" s="28"/>
      <c r="Q23" s="30">
        <f t="shared" si="5"/>
        <v>35445.802300000003</v>
      </c>
    </row>
    <row r="24" spans="1:17" x14ac:dyDescent="0.2">
      <c r="A24" s="37" t="s">
        <v>43</v>
      </c>
      <c r="B24" s="38" t="s">
        <v>36</v>
      </c>
      <c r="C24" s="37">
        <v>50465.359100000001</v>
      </c>
      <c r="D24" s="37">
        <v>2.9999999999999997E-4</v>
      </c>
      <c r="E24" s="33">
        <f t="shared" si="0"/>
        <v>197.48705711156879</v>
      </c>
      <c r="F24" s="28">
        <f t="shared" si="1"/>
        <v>197.5</v>
      </c>
      <c r="G24" s="28">
        <f t="shared" si="2"/>
        <v>-5.4856539136380889E-3</v>
      </c>
      <c r="H24" s="28"/>
      <c r="I24" s="28"/>
      <c r="J24" s="28">
        <f t="shared" si="3"/>
        <v>-5.4856539136380889E-3</v>
      </c>
      <c r="L24" s="28"/>
      <c r="M24" s="28"/>
      <c r="N24" s="28"/>
      <c r="O24" s="28">
        <f t="shared" ca="1" si="4"/>
        <v>-9.2006041159873042E-3</v>
      </c>
      <c r="P24" s="28"/>
      <c r="Q24" s="30">
        <f t="shared" si="5"/>
        <v>35446.859100000001</v>
      </c>
    </row>
    <row r="25" spans="1:17" x14ac:dyDescent="0.2">
      <c r="A25" s="37" t="s">
        <v>35</v>
      </c>
      <c r="B25" s="38" t="s">
        <v>36</v>
      </c>
      <c r="C25" s="37">
        <v>50841.296600000001</v>
      </c>
      <c r="D25" s="37">
        <v>1.4E-3</v>
      </c>
      <c r="E25" s="33">
        <f t="shared" si="0"/>
        <v>1084.476502201007</v>
      </c>
      <c r="F25" s="28">
        <f t="shared" si="1"/>
        <v>1084.5</v>
      </c>
      <c r="G25" s="28">
        <f t="shared" si="2"/>
        <v>-9.9591983380378224E-3</v>
      </c>
      <c r="H25" s="28"/>
      <c r="I25" s="28"/>
      <c r="J25" s="28">
        <f t="shared" si="3"/>
        <v>-9.9591983380378224E-3</v>
      </c>
      <c r="L25" s="28"/>
      <c r="M25" s="28"/>
      <c r="N25" s="28"/>
      <c r="O25" s="28">
        <f t="shared" ca="1" si="4"/>
        <v>-7.7296675849974593E-3</v>
      </c>
      <c r="P25" s="28"/>
      <c r="Q25" s="30">
        <f t="shared" si="5"/>
        <v>35822.796600000001</v>
      </c>
    </row>
    <row r="26" spans="1:17" x14ac:dyDescent="0.2">
      <c r="A26" s="37" t="s">
        <v>35</v>
      </c>
      <c r="B26" s="38" t="s">
        <v>36</v>
      </c>
      <c r="C26" s="37">
        <v>51140.5268</v>
      </c>
      <c r="D26" s="37">
        <v>6.9999999999999999E-4</v>
      </c>
      <c r="E26" s="33">
        <f t="shared" si="0"/>
        <v>1790.4822320151384</v>
      </c>
      <c r="F26" s="28">
        <f t="shared" si="1"/>
        <v>1790.5</v>
      </c>
      <c r="G26" s="28">
        <f t="shared" si="2"/>
        <v>-7.530700444476679E-3</v>
      </c>
      <c r="H26" s="28"/>
      <c r="I26" s="28"/>
      <c r="J26" s="28">
        <f t="shared" si="3"/>
        <v>-7.530700444476679E-3</v>
      </c>
      <c r="L26" s="28"/>
      <c r="M26" s="28"/>
      <c r="N26" s="28"/>
      <c r="O26" s="28">
        <f t="shared" ca="1" si="4"/>
        <v>-6.5588883393617996E-3</v>
      </c>
      <c r="P26" s="28"/>
      <c r="Q26" s="30">
        <f t="shared" si="5"/>
        <v>36122.0268</v>
      </c>
    </row>
    <row r="27" spans="1:17" x14ac:dyDescent="0.2">
      <c r="A27" s="54" t="s">
        <v>95</v>
      </c>
      <c r="B27" s="56" t="s">
        <v>39</v>
      </c>
      <c r="C27" s="55">
        <v>52296.542000000001</v>
      </c>
      <c r="D27" s="36"/>
      <c r="E27" s="33">
        <f t="shared" si="0"/>
        <v>4517.9922057819413</v>
      </c>
      <c r="F27" s="28">
        <f t="shared" si="1"/>
        <v>4518</v>
      </c>
      <c r="G27" s="28">
        <f t="shared" si="2"/>
        <v>-3.3034652951755561E-3</v>
      </c>
      <c r="I27" s="28"/>
      <c r="K27" s="28">
        <f t="shared" ref="K27:K34" si="6">+G27</f>
        <v>-3.3034652951755561E-3</v>
      </c>
      <c r="L27" s="28"/>
      <c r="M27" s="28"/>
      <c r="N27" s="28"/>
      <c r="O27" s="28">
        <f t="shared" ca="1" si="4"/>
        <v>-2.0357999647566093E-3</v>
      </c>
      <c r="P27" s="28"/>
      <c r="Q27" s="30">
        <f t="shared" si="5"/>
        <v>37278.042000000001</v>
      </c>
    </row>
    <row r="28" spans="1:17" x14ac:dyDescent="0.2">
      <c r="A28" s="33" t="s">
        <v>37</v>
      </c>
      <c r="B28" s="35" t="s">
        <v>36</v>
      </c>
      <c r="C28" s="36">
        <v>53381.358999999997</v>
      </c>
      <c r="D28" s="36">
        <v>5.0000000000000001E-3</v>
      </c>
      <c r="E28" s="33">
        <f t="shared" si="0"/>
        <v>7077.5166715603882</v>
      </c>
      <c r="F28" s="28">
        <f t="shared" si="1"/>
        <v>7077.5</v>
      </c>
      <c r="G28" s="28">
        <f t="shared" si="2"/>
        <v>7.0659969715052284E-3</v>
      </c>
      <c r="H28" s="28"/>
      <c r="I28" s="28"/>
      <c r="J28" s="28"/>
      <c r="K28" s="28">
        <f t="shared" si="6"/>
        <v>7.0659969715052284E-3</v>
      </c>
      <c r="L28" s="28"/>
      <c r="M28" s="28"/>
      <c r="N28" s="28"/>
      <c r="O28" s="28">
        <f t="shared" ca="1" si="4"/>
        <v>2.208689382558509E-3</v>
      </c>
      <c r="P28" s="28"/>
      <c r="Q28" s="30">
        <f t="shared" si="5"/>
        <v>38362.858999999997</v>
      </c>
    </row>
    <row r="29" spans="1:17" x14ac:dyDescent="0.2">
      <c r="A29" s="33" t="s">
        <v>38</v>
      </c>
      <c r="B29" s="35" t="s">
        <v>39</v>
      </c>
      <c r="C29" s="36">
        <v>54756.908100000001</v>
      </c>
      <c r="D29" s="36">
        <v>6.9999999999999999E-4</v>
      </c>
      <c r="E29" s="33">
        <f t="shared" si="0"/>
        <v>10322.996393328713</v>
      </c>
      <c r="F29" s="28">
        <f t="shared" si="1"/>
        <v>10323</v>
      </c>
      <c r="G29" s="28">
        <f t="shared" si="2"/>
        <v>-1.5286348643712699E-3</v>
      </c>
      <c r="H29" s="28"/>
      <c r="I29" s="28"/>
      <c r="J29" s="28"/>
      <c r="K29" s="28">
        <f t="shared" si="6"/>
        <v>-1.5286348643712699E-3</v>
      </c>
      <c r="L29" s="28"/>
      <c r="M29" s="28"/>
      <c r="N29" s="28"/>
      <c r="O29" s="28">
        <f t="shared" ca="1" si="4"/>
        <v>7.5907914246414222E-3</v>
      </c>
      <c r="P29" s="28"/>
      <c r="Q29" s="30">
        <f t="shared" si="5"/>
        <v>39738.408100000001</v>
      </c>
    </row>
    <row r="30" spans="1:17" x14ac:dyDescent="0.2">
      <c r="A30" s="33" t="s">
        <v>38</v>
      </c>
      <c r="B30" s="35" t="s">
        <v>36</v>
      </c>
      <c r="C30" s="36">
        <v>54774.919000000002</v>
      </c>
      <c r="D30" s="36">
        <v>3.0000000000000001E-3</v>
      </c>
      <c r="E30" s="33">
        <f t="shared" si="0"/>
        <v>10365.491430925555</v>
      </c>
      <c r="F30" s="28">
        <f t="shared" si="1"/>
        <v>10365.5</v>
      </c>
      <c r="G30" s="28">
        <f t="shared" si="2"/>
        <v>-3.6318768397904932E-3</v>
      </c>
      <c r="H30" s="28"/>
      <c r="I30" s="28"/>
      <c r="J30" s="28"/>
      <c r="K30" s="28">
        <f t="shared" si="6"/>
        <v>-3.6318768397904932E-3</v>
      </c>
      <c r="L30" s="28"/>
      <c r="M30" s="28"/>
      <c r="N30" s="28"/>
      <c r="O30" s="28">
        <f t="shared" ca="1" si="4"/>
        <v>7.6612703452356365E-3</v>
      </c>
      <c r="P30" s="28"/>
      <c r="Q30" s="30">
        <f t="shared" si="5"/>
        <v>39756.419000000002</v>
      </c>
    </row>
    <row r="31" spans="1:17" x14ac:dyDescent="0.2">
      <c r="A31" s="54" t="s">
        <v>116</v>
      </c>
      <c r="B31" s="56" t="s">
        <v>36</v>
      </c>
      <c r="C31" s="55">
        <v>54814.340100000001</v>
      </c>
      <c r="D31" s="36"/>
      <c r="E31" s="33">
        <f t="shared" si="0"/>
        <v>10458.501837213342</v>
      </c>
      <c r="F31" s="28">
        <f t="shared" si="1"/>
        <v>10458.5</v>
      </c>
      <c r="G31" s="28">
        <f t="shared" si="2"/>
        <v>7.7867599611636251E-4</v>
      </c>
      <c r="I31" s="28"/>
      <c r="K31" s="28">
        <f t="shared" si="6"/>
        <v>7.7867599611636251E-4</v>
      </c>
      <c r="L31" s="28"/>
      <c r="M31" s="28"/>
      <c r="N31" s="28"/>
      <c r="O31" s="28">
        <f t="shared" ca="1" si="4"/>
        <v>7.8154948067712116E-3</v>
      </c>
      <c r="P31" s="28"/>
      <c r="Q31" s="30">
        <f t="shared" si="5"/>
        <v>39795.840100000001</v>
      </c>
    </row>
    <row r="32" spans="1:17" x14ac:dyDescent="0.2">
      <c r="A32" s="37" t="s">
        <v>49</v>
      </c>
      <c r="B32" s="38" t="s">
        <v>36</v>
      </c>
      <c r="C32" s="37">
        <v>54860.331400000003</v>
      </c>
      <c r="D32" s="37">
        <v>2.9999999999999997E-4</v>
      </c>
      <c r="E32" s="33">
        <f t="shared" si="0"/>
        <v>10567.014017205875</v>
      </c>
      <c r="F32" s="28">
        <f t="shared" si="1"/>
        <v>10567</v>
      </c>
      <c r="G32" s="28">
        <f t="shared" si="2"/>
        <v>5.9409876412246376E-3</v>
      </c>
      <c r="H32" s="28"/>
      <c r="I32" s="28"/>
      <c r="J32" s="28">
        <f>+G32</f>
        <v>5.9409876412246376E-3</v>
      </c>
      <c r="L32" s="28"/>
      <c r="M32" s="28"/>
      <c r="N32" s="28"/>
      <c r="O32" s="28">
        <f t="shared" ca="1" si="4"/>
        <v>7.9954233452293813E-3</v>
      </c>
      <c r="P32" s="28"/>
      <c r="Q32" s="30">
        <f t="shared" si="5"/>
        <v>39841.831400000003</v>
      </c>
    </row>
    <row r="33" spans="1:17" x14ac:dyDescent="0.2">
      <c r="A33" s="39" t="s">
        <v>48</v>
      </c>
      <c r="B33" s="35" t="s">
        <v>39</v>
      </c>
      <c r="C33" s="36">
        <v>55502.871099999997</v>
      </c>
      <c r="D33" s="36">
        <v>1.4E-3</v>
      </c>
      <c r="E33" s="33">
        <f t="shared" si="0"/>
        <v>12083.026471273182</v>
      </c>
      <c r="F33" s="28">
        <f t="shared" si="1"/>
        <v>12083</v>
      </c>
      <c r="G33" s="28">
        <f t="shared" si="2"/>
        <v>1.1219461877772119E-2</v>
      </c>
      <c r="H33" s="28"/>
      <c r="I33" s="28"/>
      <c r="J33" s="28"/>
      <c r="K33" s="28">
        <f t="shared" si="6"/>
        <v>1.1219461877772119E-2</v>
      </c>
      <c r="L33" s="28"/>
      <c r="M33" s="28"/>
      <c r="N33" s="28"/>
      <c r="O33" s="28">
        <f t="shared" ca="1" si="4"/>
        <v>1.0509447901013606E-2</v>
      </c>
      <c r="P33" s="28"/>
      <c r="Q33" s="30">
        <f t="shared" si="5"/>
        <v>40484.371099999997</v>
      </c>
    </row>
    <row r="34" spans="1:17" x14ac:dyDescent="0.2">
      <c r="A34" s="40" t="s">
        <v>47</v>
      </c>
      <c r="B34" s="33"/>
      <c r="C34" s="36">
        <v>55553.727800000001</v>
      </c>
      <c r="D34" s="36">
        <v>2.0000000000000001E-4</v>
      </c>
      <c r="E34" s="33">
        <f t="shared" si="0"/>
        <v>12203.018108479058</v>
      </c>
      <c r="F34" s="28">
        <f t="shared" si="1"/>
        <v>12203</v>
      </c>
      <c r="G34" s="28">
        <f t="shared" si="2"/>
        <v>7.6750139269279316E-3</v>
      </c>
      <c r="I34" s="28"/>
      <c r="J34" s="28"/>
      <c r="K34" s="28">
        <f t="shared" si="6"/>
        <v>7.6750139269279316E-3</v>
      </c>
      <c r="L34" s="28"/>
      <c r="M34" s="28"/>
      <c r="N34" s="28"/>
      <c r="O34" s="28">
        <f t="shared" ca="1" si="4"/>
        <v>1.07084472062208E-2</v>
      </c>
      <c r="P34" s="28"/>
      <c r="Q34" s="30">
        <f t="shared" si="5"/>
        <v>40535.227800000001</v>
      </c>
    </row>
    <row r="35" spans="1:17" x14ac:dyDescent="0.2">
      <c r="A35" s="37" t="s">
        <v>50</v>
      </c>
      <c r="B35" s="38" t="s">
        <v>36</v>
      </c>
      <c r="C35" s="37">
        <v>55868.8482</v>
      </c>
      <c r="D35" s="37">
        <v>2.0000000000000001E-4</v>
      </c>
      <c r="E35" s="33">
        <f t="shared" si="0"/>
        <v>12946.515282164475</v>
      </c>
      <c r="F35" s="28">
        <f t="shared" si="1"/>
        <v>12946.5</v>
      </c>
      <c r="G35" s="28">
        <f t="shared" si="2"/>
        <v>6.4771218385430984E-3</v>
      </c>
      <c r="I35" s="28"/>
      <c r="J35" s="28"/>
      <c r="K35" s="28">
        <f>+G35</f>
        <v>6.4771218385430984E-3</v>
      </c>
      <c r="L35" s="28"/>
      <c r="M35" s="28"/>
      <c r="N35" s="28"/>
      <c r="O35" s="28">
        <f t="shared" ca="1" si="4"/>
        <v>1.1941413734733709E-2</v>
      </c>
      <c r="P35" s="28"/>
      <c r="Q35" s="30">
        <f t="shared" si="5"/>
        <v>40850.3482</v>
      </c>
    </row>
    <row r="36" spans="1:17" x14ac:dyDescent="0.2">
      <c r="A36" s="57" t="s">
        <v>51</v>
      </c>
      <c r="B36" s="58" t="s">
        <v>39</v>
      </c>
      <c r="C36" s="59">
        <v>56310.696100000001</v>
      </c>
      <c r="D36" s="59">
        <v>2.9999999999999997E-4</v>
      </c>
      <c r="E36" s="33">
        <f t="shared" si="0"/>
        <v>13989.014164651415</v>
      </c>
      <c r="F36" s="28">
        <f t="shared" si="1"/>
        <v>13989</v>
      </c>
      <c r="G36" s="28">
        <f t="shared" si="2"/>
        <v>6.0034802809241228E-3</v>
      </c>
      <c r="I36" s="28"/>
      <c r="J36" s="28"/>
      <c r="K36" s="28">
        <f>+G36</f>
        <v>6.0034802809241228E-3</v>
      </c>
      <c r="L36" s="28"/>
      <c r="M36" s="28"/>
      <c r="N36" s="28"/>
      <c r="O36" s="28">
        <f t="shared" ca="1" si="4"/>
        <v>1.367022019872121E-2</v>
      </c>
      <c r="P36" s="28"/>
      <c r="Q36" s="30">
        <f t="shared" si="5"/>
        <v>41292.196100000001</v>
      </c>
    </row>
    <row r="37" spans="1:17" x14ac:dyDescent="0.2">
      <c r="A37" s="60" t="s">
        <v>144</v>
      </c>
      <c r="B37" s="61" t="s">
        <v>36</v>
      </c>
      <c r="C37" s="62">
        <v>57361.182000000001</v>
      </c>
      <c r="D37" s="62">
        <v>3.2000000000000002E-3</v>
      </c>
      <c r="E37" s="33">
        <f>+(C37-C$7)/C$8</f>
        <v>16467.537604093555</v>
      </c>
      <c r="F37" s="28">
        <f t="shared" si="1"/>
        <v>16467.5</v>
      </c>
      <c r="G37" s="28">
        <f>+C37-(C$7+F37*C$8)</f>
        <v>1.5937944917823188E-2</v>
      </c>
      <c r="I37" s="28"/>
      <c r="J37" s="28"/>
      <c r="K37" s="28">
        <f>+G37</f>
        <v>1.5937944917823188E-2</v>
      </c>
      <c r="L37" s="28"/>
      <c r="M37" s="28"/>
      <c r="N37" s="28"/>
      <c r="O37" s="28">
        <f ca="1">+C$11+C$12*$F37</f>
        <v>1.7780385015021473E-2</v>
      </c>
      <c r="P37" s="28"/>
      <c r="Q37" s="30">
        <f>+C37-15018.5</f>
        <v>42342.682000000001</v>
      </c>
    </row>
    <row r="38" spans="1:17" x14ac:dyDescent="0.2">
      <c r="A38" s="63" t="s">
        <v>145</v>
      </c>
      <c r="B38" s="64" t="s">
        <v>39</v>
      </c>
      <c r="C38" s="65">
        <v>59270.359299999996</v>
      </c>
      <c r="D38" s="63">
        <v>2.0000000000000001E-4</v>
      </c>
      <c r="E38" s="33">
        <f t="shared" ref="E38:E39" si="7">+(C38-C$7)/C$8</f>
        <v>20972.06326036447</v>
      </c>
      <c r="F38" s="28">
        <f t="shared" ref="F38:F39" si="8">ROUND(2*E38,0)/2</f>
        <v>20972</v>
      </c>
      <c r="G38" s="28">
        <f t="shared" ref="G38:G39" si="9">+C38-(C$7+F38*C$8)</f>
        <v>2.6811980009370018E-2</v>
      </c>
      <c r="I38" s="28"/>
      <c r="J38" s="28"/>
      <c r="K38" s="28">
        <f t="shared" ref="K38:K39" si="10">+G38</f>
        <v>2.6811980009370018E-2</v>
      </c>
      <c r="L38" s="28"/>
      <c r="M38" s="28"/>
      <c r="N38" s="28"/>
      <c r="O38" s="28">
        <f t="shared" ref="O38:O39" ca="1" si="11">+C$11+C$12*$F38</f>
        <v>2.5250321434236531E-2</v>
      </c>
      <c r="P38" s="28"/>
      <c r="Q38" s="30">
        <f t="shared" ref="Q38:Q39" si="12">+C38-15018.5</f>
        <v>44251.859299999996</v>
      </c>
    </row>
    <row r="39" spans="1:17" x14ac:dyDescent="0.2">
      <c r="A39" s="63" t="s">
        <v>145</v>
      </c>
      <c r="B39" s="64" t="s">
        <v>36</v>
      </c>
      <c r="C39" s="65">
        <v>59507.708700000003</v>
      </c>
      <c r="D39" s="63">
        <v>3.5000000000000001E-3</v>
      </c>
      <c r="E39" s="33">
        <f t="shared" si="7"/>
        <v>21532.067017899481</v>
      </c>
      <c r="F39" s="28">
        <f t="shared" si="8"/>
        <v>21532</v>
      </c>
      <c r="G39" s="28">
        <f t="shared" si="9"/>
        <v>2.8404556251189206E-2</v>
      </c>
      <c r="I39" s="28"/>
      <c r="J39" s="28"/>
      <c r="K39" s="28">
        <f t="shared" si="10"/>
        <v>2.8404556251189206E-2</v>
      </c>
      <c r="L39" s="28"/>
      <c r="M39" s="28"/>
      <c r="N39" s="28"/>
      <c r="O39" s="28">
        <f t="shared" ca="1" si="11"/>
        <v>2.6178984858536775E-2</v>
      </c>
      <c r="P39" s="28"/>
      <c r="Q39" s="30">
        <f t="shared" si="12"/>
        <v>44489.208700000003</v>
      </c>
    </row>
    <row r="40" spans="1:17" x14ac:dyDescent="0.2">
      <c r="A40" s="63" t="s">
        <v>146</v>
      </c>
      <c r="B40" s="64" t="s">
        <v>36</v>
      </c>
      <c r="C40" s="66">
        <v>59587.390099999997</v>
      </c>
      <c r="D40" s="63">
        <v>3.5000000000000001E-3</v>
      </c>
      <c r="E40" s="33">
        <f t="shared" ref="E40:E43" si="13">+(C40-C$7)/C$8</f>
        <v>21720.067844552697</v>
      </c>
      <c r="F40" s="28">
        <f t="shared" ref="F40:F43" si="14">ROUND(2*E40,0)/2</f>
        <v>21720</v>
      </c>
      <c r="G40" s="28">
        <f t="shared" ref="G40:G43" si="15">+C40-(C$7+F40*C$8)</f>
        <v>2.8754921120707877E-2</v>
      </c>
      <c r="I40" s="28"/>
      <c r="J40" s="28"/>
      <c r="K40" s="28">
        <f t="shared" ref="K40:K43" si="16">+G40</f>
        <v>2.8754921120707877E-2</v>
      </c>
      <c r="L40" s="28"/>
      <c r="M40" s="28"/>
      <c r="N40" s="28"/>
      <c r="O40" s="28">
        <f t="shared" ref="O40:O43" ca="1" si="17">+C$11+C$12*$F40</f>
        <v>2.6490750436694712E-2</v>
      </c>
      <c r="P40" s="28"/>
      <c r="Q40" s="30">
        <f t="shared" ref="Q40:Q43" si="18">+C40-15018.5</f>
        <v>44568.890099999997</v>
      </c>
    </row>
    <row r="41" spans="1:17" x14ac:dyDescent="0.2">
      <c r="A41" s="63" t="s">
        <v>146</v>
      </c>
      <c r="B41" s="64" t="s">
        <v>36</v>
      </c>
      <c r="C41" s="66">
        <v>59597.348700000002</v>
      </c>
      <c r="D41" s="63">
        <v>3.5000000000000001E-3</v>
      </c>
      <c r="E41" s="33">
        <f t="shared" si="13"/>
        <v>21743.564231818858</v>
      </c>
      <c r="F41" s="28">
        <f t="shared" si="14"/>
        <v>21743.5</v>
      </c>
      <c r="G41" s="28">
        <f t="shared" si="15"/>
        <v>2.7223716737353243E-2</v>
      </c>
      <c r="I41" s="28"/>
      <c r="J41" s="28"/>
      <c r="K41" s="28">
        <f t="shared" si="16"/>
        <v>2.7223716737353243E-2</v>
      </c>
      <c r="L41" s="28"/>
      <c r="M41" s="28"/>
      <c r="N41" s="28"/>
      <c r="O41" s="28">
        <f t="shared" ca="1" si="17"/>
        <v>2.6529721133964453E-2</v>
      </c>
      <c r="P41" s="28"/>
      <c r="Q41" s="30">
        <f t="shared" si="18"/>
        <v>44578.848700000002</v>
      </c>
    </row>
    <row r="42" spans="1:17" x14ac:dyDescent="0.2">
      <c r="A42" s="63" t="s">
        <v>146</v>
      </c>
      <c r="B42" s="64" t="s">
        <v>36</v>
      </c>
      <c r="C42" s="66">
        <v>59642.279499999997</v>
      </c>
      <c r="D42" s="63">
        <v>1E-4</v>
      </c>
      <c r="E42" s="33">
        <f t="shared" si="13"/>
        <v>21849.574261037596</v>
      </c>
      <c r="F42" s="28">
        <f t="shared" si="14"/>
        <v>21849.5</v>
      </c>
      <c r="G42" s="28">
        <f t="shared" si="15"/>
        <v>3.1474454379349481E-2</v>
      </c>
      <c r="I42" s="28"/>
      <c r="J42" s="28"/>
      <c r="K42" s="28">
        <f t="shared" si="16"/>
        <v>3.1474454379349481E-2</v>
      </c>
      <c r="L42" s="28"/>
      <c r="M42" s="28"/>
      <c r="N42" s="28"/>
      <c r="O42" s="28">
        <f t="shared" ca="1" si="17"/>
        <v>2.6705503853564145E-2</v>
      </c>
      <c r="P42" s="28"/>
      <c r="Q42" s="30">
        <f t="shared" si="18"/>
        <v>44623.779499999997</v>
      </c>
    </row>
    <row r="43" spans="1:17" x14ac:dyDescent="0.2">
      <c r="A43" s="63" t="s">
        <v>146</v>
      </c>
      <c r="B43" s="64" t="s">
        <v>36</v>
      </c>
      <c r="C43" s="66">
        <v>59870.522900000004</v>
      </c>
      <c r="D43" s="63">
        <v>3.5000000000000001E-3</v>
      </c>
      <c r="E43" s="33">
        <f t="shared" si="13"/>
        <v>22388.093261433496</v>
      </c>
      <c r="F43" s="28">
        <f t="shared" si="14"/>
        <v>22388</v>
      </c>
      <c r="G43" s="28">
        <f t="shared" si="15"/>
        <v>3.9527494205685798E-2</v>
      </c>
      <c r="I43" s="28"/>
      <c r="J43" s="28"/>
      <c r="K43" s="28">
        <f t="shared" si="16"/>
        <v>3.9527494205685798E-2</v>
      </c>
      <c r="L43" s="28"/>
      <c r="M43" s="28"/>
      <c r="N43" s="28"/>
      <c r="O43" s="28">
        <f t="shared" ca="1" si="17"/>
        <v>2.7598513235681427E-2</v>
      </c>
      <c r="P43" s="28"/>
      <c r="Q43" s="30">
        <f t="shared" si="18"/>
        <v>44852.022900000004</v>
      </c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8"/>
  <sheetViews>
    <sheetView topLeftCell="A3" workbookViewId="0">
      <selection activeCell="A25" sqref="A25:C26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1" t="s">
        <v>52</v>
      </c>
      <c r="I1" s="42" t="s">
        <v>53</v>
      </c>
      <c r="J1" s="43" t="s">
        <v>54</v>
      </c>
    </row>
    <row r="2" spans="1:16" x14ac:dyDescent="0.2">
      <c r="I2" s="44" t="s">
        <v>55</v>
      </c>
      <c r="J2" s="45" t="s">
        <v>56</v>
      </c>
    </row>
    <row r="3" spans="1:16" x14ac:dyDescent="0.2">
      <c r="A3" s="46" t="s">
        <v>57</v>
      </c>
      <c r="I3" s="44" t="s">
        <v>58</v>
      </c>
      <c r="J3" s="45" t="s">
        <v>59</v>
      </c>
    </row>
    <row r="4" spans="1:16" x14ac:dyDescent="0.2">
      <c r="I4" s="44" t="s">
        <v>60</v>
      </c>
      <c r="J4" s="45" t="s">
        <v>59</v>
      </c>
    </row>
    <row r="5" spans="1:16" ht="13.5" thickBot="1" x14ac:dyDescent="0.25">
      <c r="I5" s="47" t="s">
        <v>61</v>
      </c>
      <c r="J5" s="48" t="s">
        <v>62</v>
      </c>
    </row>
    <row r="10" spans="1:16" ht="13.5" thickBot="1" x14ac:dyDescent="0.25"/>
    <row r="11" spans="1:16" ht="12.75" customHeight="1" thickBot="1" x14ac:dyDescent="0.25">
      <c r="A11" s="9" t="str">
        <f t="shared" ref="A11:A26" si="0">P11</f>
        <v>BAVM 102 </v>
      </c>
      <c r="B11" s="2" t="str">
        <f t="shared" ref="B11:B26" si="1">IF(H11=INT(H11),"I","II")</f>
        <v>II</v>
      </c>
      <c r="C11" s="9">
        <f t="shared" ref="C11:C26" si="2">1*G11</f>
        <v>50381.657099999997</v>
      </c>
      <c r="D11" s="11" t="str">
        <f t="shared" ref="D11:D26" si="3">VLOOKUP(F11,I$1:J$5,2,FALSE)</f>
        <v>vis</v>
      </c>
      <c r="E11" s="49">
        <f>VLOOKUP(C11,Active!C$21:E$973,3,FALSE)</f>
        <v>0</v>
      </c>
      <c r="F11" s="2" t="s">
        <v>61</v>
      </c>
      <c r="G11" s="11" t="str">
        <f t="shared" ref="G11:G26" si="4">MID(I11,3,LEN(I11)-3)</f>
        <v>50381.6571</v>
      </c>
      <c r="H11" s="9">
        <f t="shared" ref="H11:H26" si="5">1*K11</f>
        <v>-4998.5</v>
      </c>
      <c r="I11" s="50" t="s">
        <v>64</v>
      </c>
      <c r="J11" s="51" t="s">
        <v>65</v>
      </c>
      <c r="K11" s="50">
        <v>-4998.5</v>
      </c>
      <c r="L11" s="50" t="s">
        <v>66</v>
      </c>
      <c r="M11" s="51" t="s">
        <v>67</v>
      </c>
      <c r="N11" s="51" t="s">
        <v>68</v>
      </c>
      <c r="O11" s="52" t="s">
        <v>69</v>
      </c>
      <c r="P11" s="53" t="s">
        <v>70</v>
      </c>
    </row>
    <row r="12" spans="1:16" ht="12.75" customHeight="1" thickBot="1" x14ac:dyDescent="0.25">
      <c r="A12" s="9" t="str">
        <f t="shared" si="0"/>
        <v>BAVM 102 </v>
      </c>
      <c r="B12" s="2" t="str">
        <f t="shared" si="1"/>
        <v>I</v>
      </c>
      <c r="C12" s="9">
        <f t="shared" si="2"/>
        <v>50457.305699999997</v>
      </c>
      <c r="D12" s="11" t="str">
        <f t="shared" si="3"/>
        <v>vis</v>
      </c>
      <c r="E12" s="49">
        <f>VLOOKUP(C12,Active!C$21:E$973,3,FALSE)</f>
        <v>178.48581143353155</v>
      </c>
      <c r="F12" s="2" t="s">
        <v>61</v>
      </c>
      <c r="G12" s="11" t="str">
        <f t="shared" si="4"/>
        <v>50457.3057</v>
      </c>
      <c r="H12" s="9">
        <f t="shared" si="5"/>
        <v>-4820</v>
      </c>
      <c r="I12" s="50" t="s">
        <v>71</v>
      </c>
      <c r="J12" s="51" t="s">
        <v>72</v>
      </c>
      <c r="K12" s="50">
        <v>-4820</v>
      </c>
      <c r="L12" s="50" t="s">
        <v>73</v>
      </c>
      <c r="M12" s="51" t="s">
        <v>67</v>
      </c>
      <c r="N12" s="51" t="s">
        <v>68</v>
      </c>
      <c r="O12" s="52" t="s">
        <v>69</v>
      </c>
      <c r="P12" s="53" t="s">
        <v>70</v>
      </c>
    </row>
    <row r="13" spans="1:16" ht="12.75" customHeight="1" thickBot="1" x14ac:dyDescent="0.25">
      <c r="A13" s="9" t="str">
        <f t="shared" si="0"/>
        <v>BAVM 118 </v>
      </c>
      <c r="B13" s="2" t="str">
        <f t="shared" si="1"/>
        <v>II</v>
      </c>
      <c r="C13" s="9">
        <f t="shared" si="2"/>
        <v>50464.302300000003</v>
      </c>
      <c r="D13" s="11" t="str">
        <f t="shared" si="3"/>
        <v>vis</v>
      </c>
      <c r="E13" s="49">
        <f>VLOOKUP(C13,Active!C$21:E$973,3,FALSE)</f>
        <v>194.99363614247375</v>
      </c>
      <c r="F13" s="2" t="s">
        <v>61</v>
      </c>
      <c r="G13" s="11" t="str">
        <f t="shared" si="4"/>
        <v>50464.3023</v>
      </c>
      <c r="H13" s="9">
        <f t="shared" si="5"/>
        <v>-4803.5</v>
      </c>
      <c r="I13" s="50" t="s">
        <v>74</v>
      </c>
      <c r="J13" s="51" t="s">
        <v>75</v>
      </c>
      <c r="K13" s="50">
        <v>-4803.5</v>
      </c>
      <c r="L13" s="50" t="s">
        <v>76</v>
      </c>
      <c r="M13" s="51" t="s">
        <v>67</v>
      </c>
      <c r="N13" s="51" t="s">
        <v>68</v>
      </c>
      <c r="O13" s="52" t="s">
        <v>69</v>
      </c>
      <c r="P13" s="53" t="s">
        <v>77</v>
      </c>
    </row>
    <row r="14" spans="1:16" ht="12.75" customHeight="1" thickBot="1" x14ac:dyDescent="0.25">
      <c r="A14" s="9" t="str">
        <f t="shared" si="0"/>
        <v>BAVM 102 </v>
      </c>
      <c r="B14" s="2" t="str">
        <f t="shared" si="1"/>
        <v>I</v>
      </c>
      <c r="C14" s="9">
        <f t="shared" si="2"/>
        <v>50465.359100000001</v>
      </c>
      <c r="D14" s="11" t="str">
        <f t="shared" si="3"/>
        <v>vis</v>
      </c>
      <c r="E14" s="49">
        <f>VLOOKUP(C14,Active!C$21:E$973,3,FALSE)</f>
        <v>197.48705711156879</v>
      </c>
      <c r="F14" s="2" t="s">
        <v>61</v>
      </c>
      <c r="G14" s="11" t="str">
        <f t="shared" si="4"/>
        <v>50465.3591</v>
      </c>
      <c r="H14" s="9">
        <f t="shared" si="5"/>
        <v>-4801</v>
      </c>
      <c r="I14" s="50" t="s">
        <v>78</v>
      </c>
      <c r="J14" s="51" t="s">
        <v>79</v>
      </c>
      <c r="K14" s="50">
        <v>-4801</v>
      </c>
      <c r="L14" s="50" t="s">
        <v>80</v>
      </c>
      <c r="M14" s="51" t="s">
        <v>67</v>
      </c>
      <c r="N14" s="51" t="s">
        <v>68</v>
      </c>
      <c r="O14" s="52" t="s">
        <v>81</v>
      </c>
      <c r="P14" s="53" t="s">
        <v>70</v>
      </c>
    </row>
    <row r="15" spans="1:16" ht="12.75" customHeight="1" thickBot="1" x14ac:dyDescent="0.25">
      <c r="A15" s="9" t="str">
        <f t="shared" si="0"/>
        <v>BAVM 118 </v>
      </c>
      <c r="B15" s="2" t="str">
        <f t="shared" si="1"/>
        <v>I</v>
      </c>
      <c r="C15" s="9">
        <f t="shared" si="2"/>
        <v>50841.296600000001</v>
      </c>
      <c r="D15" s="11" t="str">
        <f t="shared" si="3"/>
        <v>vis</v>
      </c>
      <c r="E15" s="49">
        <f>VLOOKUP(C15,Active!C$21:E$973,3,FALSE)</f>
        <v>1084.476502201007</v>
      </c>
      <c r="F15" s="2" t="s">
        <v>61</v>
      </c>
      <c r="G15" s="11" t="str">
        <f t="shared" si="4"/>
        <v>50841.2966</v>
      </c>
      <c r="H15" s="9">
        <f t="shared" si="5"/>
        <v>-3914</v>
      </c>
      <c r="I15" s="50" t="s">
        <v>82</v>
      </c>
      <c r="J15" s="51" t="s">
        <v>83</v>
      </c>
      <c r="K15" s="50">
        <v>-3914</v>
      </c>
      <c r="L15" s="50" t="s">
        <v>84</v>
      </c>
      <c r="M15" s="51" t="s">
        <v>67</v>
      </c>
      <c r="N15" s="51" t="s">
        <v>68</v>
      </c>
      <c r="O15" s="52" t="s">
        <v>69</v>
      </c>
      <c r="P15" s="53" t="s">
        <v>77</v>
      </c>
    </row>
    <row r="16" spans="1:16" ht="12.75" customHeight="1" thickBot="1" x14ac:dyDescent="0.25">
      <c r="A16" s="9" t="str">
        <f t="shared" si="0"/>
        <v>BAVM 118 </v>
      </c>
      <c r="B16" s="2" t="str">
        <f t="shared" si="1"/>
        <v>I</v>
      </c>
      <c r="C16" s="9">
        <f t="shared" si="2"/>
        <v>51140.5268</v>
      </c>
      <c r="D16" s="11" t="str">
        <f t="shared" si="3"/>
        <v>vis</v>
      </c>
      <c r="E16" s="49">
        <f>VLOOKUP(C16,Active!C$21:E$973,3,FALSE)</f>
        <v>1790.4822320151384</v>
      </c>
      <c r="F16" s="2" t="s">
        <v>61</v>
      </c>
      <c r="G16" s="11" t="str">
        <f t="shared" si="4"/>
        <v>51140.5268</v>
      </c>
      <c r="H16" s="9">
        <f t="shared" si="5"/>
        <v>-3208</v>
      </c>
      <c r="I16" s="50" t="s">
        <v>85</v>
      </c>
      <c r="J16" s="51" t="s">
        <v>86</v>
      </c>
      <c r="K16" s="50">
        <v>-3208</v>
      </c>
      <c r="L16" s="50" t="s">
        <v>87</v>
      </c>
      <c r="M16" s="51" t="s">
        <v>67</v>
      </c>
      <c r="N16" s="51" t="s">
        <v>88</v>
      </c>
      <c r="O16" s="52" t="s">
        <v>81</v>
      </c>
      <c r="P16" s="53" t="s">
        <v>77</v>
      </c>
    </row>
    <row r="17" spans="1:16" ht="12.75" customHeight="1" thickBot="1" x14ac:dyDescent="0.25">
      <c r="A17" s="9" t="str">
        <f t="shared" si="0"/>
        <v>IBVS 5653 </v>
      </c>
      <c r="B17" s="2" t="str">
        <f t="shared" si="1"/>
        <v>I</v>
      </c>
      <c r="C17" s="9">
        <f t="shared" si="2"/>
        <v>53381.358999999997</v>
      </c>
      <c r="D17" s="11" t="str">
        <f t="shared" si="3"/>
        <v>vis</v>
      </c>
      <c r="E17" s="49">
        <f>VLOOKUP(C17,Active!C$21:E$973,3,FALSE)</f>
        <v>7077.5166715603882</v>
      </c>
      <c r="F17" s="2" t="s">
        <v>61</v>
      </c>
      <c r="G17" s="11" t="str">
        <f t="shared" si="4"/>
        <v>53381.359</v>
      </c>
      <c r="H17" s="9">
        <f t="shared" si="5"/>
        <v>2079</v>
      </c>
      <c r="I17" s="50" t="s">
        <v>96</v>
      </c>
      <c r="J17" s="51" t="s">
        <v>97</v>
      </c>
      <c r="K17" s="50" t="s">
        <v>98</v>
      </c>
      <c r="L17" s="50" t="s">
        <v>99</v>
      </c>
      <c r="M17" s="51" t="s">
        <v>67</v>
      </c>
      <c r="N17" s="51" t="s">
        <v>93</v>
      </c>
      <c r="O17" s="52" t="s">
        <v>94</v>
      </c>
      <c r="P17" s="53" t="s">
        <v>100</v>
      </c>
    </row>
    <row r="18" spans="1:16" ht="12.75" customHeight="1" thickBot="1" x14ac:dyDescent="0.25">
      <c r="A18" s="9" t="str">
        <f t="shared" si="0"/>
        <v>IBVS 5871 </v>
      </c>
      <c r="B18" s="2" t="str">
        <f t="shared" si="1"/>
        <v>II</v>
      </c>
      <c r="C18" s="9">
        <f t="shared" si="2"/>
        <v>54756.908100000001</v>
      </c>
      <c r="D18" s="11" t="str">
        <f t="shared" si="3"/>
        <v>vis</v>
      </c>
      <c r="E18" s="49">
        <f>VLOOKUP(C18,Active!C$21:E$973,3,FALSE)</f>
        <v>10322.996393328713</v>
      </c>
      <c r="F18" s="2" t="s">
        <v>61</v>
      </c>
      <c r="G18" s="11" t="str">
        <f t="shared" si="4"/>
        <v>54756.9081</v>
      </c>
      <c r="H18" s="9">
        <f t="shared" si="5"/>
        <v>5324.5</v>
      </c>
      <c r="I18" s="50" t="s">
        <v>101</v>
      </c>
      <c r="J18" s="51" t="s">
        <v>102</v>
      </c>
      <c r="K18" s="50" t="s">
        <v>103</v>
      </c>
      <c r="L18" s="50" t="s">
        <v>104</v>
      </c>
      <c r="M18" s="51" t="s">
        <v>105</v>
      </c>
      <c r="N18" s="51" t="s">
        <v>106</v>
      </c>
      <c r="O18" s="52" t="s">
        <v>94</v>
      </c>
      <c r="P18" s="53" t="s">
        <v>107</v>
      </c>
    </row>
    <row r="19" spans="1:16" ht="12.75" customHeight="1" thickBot="1" x14ac:dyDescent="0.25">
      <c r="A19" s="9" t="str">
        <f t="shared" si="0"/>
        <v>IBVS 5871 </v>
      </c>
      <c r="B19" s="2" t="str">
        <f t="shared" si="1"/>
        <v>I</v>
      </c>
      <c r="C19" s="9">
        <f t="shared" si="2"/>
        <v>54774.919000000002</v>
      </c>
      <c r="D19" s="11" t="str">
        <f t="shared" si="3"/>
        <v>vis</v>
      </c>
      <c r="E19" s="49">
        <f>VLOOKUP(C19,Active!C$21:E$973,3,FALSE)</f>
        <v>10365.491430925555</v>
      </c>
      <c r="F19" s="2" t="s">
        <v>61</v>
      </c>
      <c r="G19" s="11" t="str">
        <f t="shared" si="4"/>
        <v>54774.919</v>
      </c>
      <c r="H19" s="9">
        <f t="shared" si="5"/>
        <v>5367</v>
      </c>
      <c r="I19" s="50" t="s">
        <v>108</v>
      </c>
      <c r="J19" s="51" t="s">
        <v>109</v>
      </c>
      <c r="K19" s="50" t="s">
        <v>110</v>
      </c>
      <c r="L19" s="50" t="s">
        <v>63</v>
      </c>
      <c r="M19" s="51" t="s">
        <v>105</v>
      </c>
      <c r="N19" s="51" t="s">
        <v>61</v>
      </c>
      <c r="O19" s="52" t="s">
        <v>94</v>
      </c>
      <c r="P19" s="53" t="s">
        <v>107</v>
      </c>
    </row>
    <row r="20" spans="1:16" ht="12.75" customHeight="1" thickBot="1" x14ac:dyDescent="0.25">
      <c r="A20" s="9" t="str">
        <f t="shared" si="0"/>
        <v>BAVM 209 </v>
      </c>
      <c r="B20" s="2" t="str">
        <f t="shared" si="1"/>
        <v>II</v>
      </c>
      <c r="C20" s="9">
        <f t="shared" si="2"/>
        <v>54860.331400000003</v>
      </c>
      <c r="D20" s="11" t="str">
        <f t="shared" si="3"/>
        <v>vis</v>
      </c>
      <c r="E20" s="49">
        <f>VLOOKUP(C20,Active!C$21:E$973,3,FALSE)</f>
        <v>10567.014017205875</v>
      </c>
      <c r="F20" s="2" t="s">
        <v>61</v>
      </c>
      <c r="G20" s="11" t="str">
        <f t="shared" si="4"/>
        <v>54860.3314</v>
      </c>
      <c r="H20" s="9">
        <f t="shared" si="5"/>
        <v>5568.5</v>
      </c>
      <c r="I20" s="50" t="s">
        <v>117</v>
      </c>
      <c r="J20" s="51" t="s">
        <v>118</v>
      </c>
      <c r="K20" s="50" t="s">
        <v>119</v>
      </c>
      <c r="L20" s="50" t="s">
        <v>120</v>
      </c>
      <c r="M20" s="51" t="s">
        <v>105</v>
      </c>
      <c r="N20" s="51" t="s">
        <v>68</v>
      </c>
      <c r="O20" s="52" t="s">
        <v>121</v>
      </c>
      <c r="P20" s="53" t="s">
        <v>122</v>
      </c>
    </row>
    <row r="21" spans="1:16" ht="12.75" customHeight="1" thickBot="1" x14ac:dyDescent="0.25">
      <c r="A21" s="9" t="str">
        <f t="shared" si="0"/>
        <v>IBVS 5960 </v>
      </c>
      <c r="B21" s="2" t="str">
        <f t="shared" si="1"/>
        <v>II</v>
      </c>
      <c r="C21" s="9">
        <f t="shared" si="2"/>
        <v>55502.871099999997</v>
      </c>
      <c r="D21" s="11" t="str">
        <f t="shared" si="3"/>
        <v>vis</v>
      </c>
      <c r="E21" s="49">
        <f>VLOOKUP(C21,Active!C$21:E$973,3,FALSE)</f>
        <v>12083.026471273182</v>
      </c>
      <c r="F21" s="2" t="s">
        <v>61</v>
      </c>
      <c r="G21" s="11" t="str">
        <f t="shared" si="4"/>
        <v>55502.8711</v>
      </c>
      <c r="H21" s="9">
        <f t="shared" si="5"/>
        <v>7084.5</v>
      </c>
      <c r="I21" s="50" t="s">
        <v>123</v>
      </c>
      <c r="J21" s="51" t="s">
        <v>124</v>
      </c>
      <c r="K21" s="50" t="s">
        <v>125</v>
      </c>
      <c r="L21" s="50" t="s">
        <v>126</v>
      </c>
      <c r="M21" s="51" t="s">
        <v>105</v>
      </c>
      <c r="N21" s="51" t="s">
        <v>61</v>
      </c>
      <c r="O21" s="52" t="s">
        <v>94</v>
      </c>
      <c r="P21" s="53" t="s">
        <v>127</v>
      </c>
    </row>
    <row r="22" spans="1:16" ht="12.75" customHeight="1" thickBot="1" x14ac:dyDescent="0.25">
      <c r="A22" s="9" t="str">
        <f t="shared" si="0"/>
        <v>IBVS 5966 </v>
      </c>
      <c r="B22" s="2" t="str">
        <f t="shared" si="1"/>
        <v>II</v>
      </c>
      <c r="C22" s="9">
        <f t="shared" si="2"/>
        <v>55553.727800000001</v>
      </c>
      <c r="D22" s="11" t="str">
        <f t="shared" si="3"/>
        <v>vis</v>
      </c>
      <c r="E22" s="49">
        <f>VLOOKUP(C22,Active!C$21:E$973,3,FALSE)</f>
        <v>12203.018108479058</v>
      </c>
      <c r="F22" s="2" t="s">
        <v>61</v>
      </c>
      <c r="G22" s="11" t="str">
        <f t="shared" si="4"/>
        <v>55553.7278</v>
      </c>
      <c r="H22" s="9">
        <f t="shared" si="5"/>
        <v>7204.5</v>
      </c>
      <c r="I22" s="50" t="s">
        <v>128</v>
      </c>
      <c r="J22" s="51" t="s">
        <v>129</v>
      </c>
      <c r="K22" s="50" t="s">
        <v>130</v>
      </c>
      <c r="L22" s="50" t="s">
        <v>131</v>
      </c>
      <c r="M22" s="51" t="s">
        <v>105</v>
      </c>
      <c r="N22" s="51" t="s">
        <v>53</v>
      </c>
      <c r="O22" s="52" t="s">
        <v>132</v>
      </c>
      <c r="P22" s="53" t="s">
        <v>133</v>
      </c>
    </row>
    <row r="23" spans="1:16" ht="12.75" customHeight="1" thickBot="1" x14ac:dyDescent="0.25">
      <c r="A23" s="9" t="str">
        <f t="shared" si="0"/>
        <v>IBVS 6011 </v>
      </c>
      <c r="B23" s="2" t="str">
        <f t="shared" si="1"/>
        <v>I</v>
      </c>
      <c r="C23" s="9">
        <f t="shared" si="2"/>
        <v>55868.8482</v>
      </c>
      <c r="D23" s="11" t="str">
        <f t="shared" si="3"/>
        <v>vis</v>
      </c>
      <c r="E23" s="49">
        <f>VLOOKUP(C23,Active!C$21:E$973,3,FALSE)</f>
        <v>12946.515282164475</v>
      </c>
      <c r="F23" s="2" t="s">
        <v>61</v>
      </c>
      <c r="G23" s="11" t="str">
        <f t="shared" si="4"/>
        <v>55868.8482</v>
      </c>
      <c r="H23" s="9">
        <f t="shared" si="5"/>
        <v>7948</v>
      </c>
      <c r="I23" s="50" t="s">
        <v>134</v>
      </c>
      <c r="J23" s="51" t="s">
        <v>135</v>
      </c>
      <c r="K23" s="50" t="s">
        <v>136</v>
      </c>
      <c r="L23" s="50" t="s">
        <v>137</v>
      </c>
      <c r="M23" s="51" t="s">
        <v>105</v>
      </c>
      <c r="N23" s="51" t="s">
        <v>61</v>
      </c>
      <c r="O23" s="52" t="s">
        <v>94</v>
      </c>
      <c r="P23" s="53" t="s">
        <v>138</v>
      </c>
    </row>
    <row r="24" spans="1:16" ht="12.75" customHeight="1" thickBot="1" x14ac:dyDescent="0.25">
      <c r="A24" s="9" t="str">
        <f t="shared" si="0"/>
        <v>IBVS 6063 </v>
      </c>
      <c r="B24" s="2" t="str">
        <f t="shared" si="1"/>
        <v>II</v>
      </c>
      <c r="C24" s="9">
        <f t="shared" si="2"/>
        <v>56310.696100000001</v>
      </c>
      <c r="D24" s="11" t="str">
        <f t="shared" si="3"/>
        <v>vis</v>
      </c>
      <c r="E24" s="49">
        <f>VLOOKUP(C24,Active!C$21:E$973,3,FALSE)</f>
        <v>13989.014164651415</v>
      </c>
      <c r="F24" s="2" t="s">
        <v>61</v>
      </c>
      <c r="G24" s="11" t="str">
        <f t="shared" si="4"/>
        <v>56310.6961</v>
      </c>
      <c r="H24" s="9">
        <f t="shared" si="5"/>
        <v>8990.5</v>
      </c>
      <c r="I24" s="50" t="s">
        <v>139</v>
      </c>
      <c r="J24" s="51" t="s">
        <v>140</v>
      </c>
      <c r="K24" s="50" t="s">
        <v>141</v>
      </c>
      <c r="L24" s="50" t="s">
        <v>142</v>
      </c>
      <c r="M24" s="51" t="s">
        <v>105</v>
      </c>
      <c r="N24" s="51" t="s">
        <v>61</v>
      </c>
      <c r="O24" s="52" t="s">
        <v>94</v>
      </c>
      <c r="P24" s="53" t="s">
        <v>143</v>
      </c>
    </row>
    <row r="25" spans="1:16" ht="12.75" customHeight="1" thickBot="1" x14ac:dyDescent="0.25">
      <c r="A25" s="9" t="str">
        <f t="shared" si="0"/>
        <v> BBS 127 </v>
      </c>
      <c r="B25" s="2" t="str">
        <f t="shared" si="1"/>
        <v>II</v>
      </c>
      <c r="C25" s="9">
        <f t="shared" si="2"/>
        <v>52296.542000000001</v>
      </c>
      <c r="D25" s="11" t="str">
        <f t="shared" si="3"/>
        <v>vis</v>
      </c>
      <c r="E25" s="49">
        <f>VLOOKUP(C25,Active!C$21:E$973,3,FALSE)</f>
        <v>4517.9922057819413</v>
      </c>
      <c r="F25" s="2" t="s">
        <v>61</v>
      </c>
      <c r="G25" s="11" t="str">
        <f t="shared" si="4"/>
        <v>52296.542</v>
      </c>
      <c r="H25" s="9">
        <f t="shared" si="5"/>
        <v>-480.5</v>
      </c>
      <c r="I25" s="50" t="s">
        <v>89</v>
      </c>
      <c r="J25" s="51" t="s">
        <v>90</v>
      </c>
      <c r="K25" s="50" t="s">
        <v>91</v>
      </c>
      <c r="L25" s="50" t="s">
        <v>92</v>
      </c>
      <c r="M25" s="51" t="s">
        <v>67</v>
      </c>
      <c r="N25" s="51" t="s">
        <v>93</v>
      </c>
      <c r="O25" s="52" t="s">
        <v>94</v>
      </c>
      <c r="P25" s="52" t="s">
        <v>95</v>
      </c>
    </row>
    <row r="26" spans="1:16" ht="12.75" customHeight="1" thickBot="1" x14ac:dyDescent="0.25">
      <c r="A26" s="9" t="str">
        <f t="shared" si="0"/>
        <v>BAVM 203 </v>
      </c>
      <c r="B26" s="2" t="str">
        <f t="shared" si="1"/>
        <v>I</v>
      </c>
      <c r="C26" s="9">
        <f t="shared" si="2"/>
        <v>54814.340100000001</v>
      </c>
      <c r="D26" s="11" t="str">
        <f t="shared" si="3"/>
        <v>vis</v>
      </c>
      <c r="E26" s="49">
        <f>VLOOKUP(C26,Active!C$21:E$973,3,FALSE)</f>
        <v>10458.501837213342</v>
      </c>
      <c r="F26" s="2" t="s">
        <v>61</v>
      </c>
      <c r="G26" s="11" t="str">
        <f t="shared" si="4"/>
        <v>54814.3401</v>
      </c>
      <c r="H26" s="9">
        <f t="shared" si="5"/>
        <v>5460</v>
      </c>
      <c r="I26" s="50" t="s">
        <v>111</v>
      </c>
      <c r="J26" s="51" t="s">
        <v>112</v>
      </c>
      <c r="K26" s="50" t="s">
        <v>113</v>
      </c>
      <c r="L26" s="50" t="s">
        <v>114</v>
      </c>
      <c r="M26" s="51" t="s">
        <v>105</v>
      </c>
      <c r="N26" s="51" t="s">
        <v>68</v>
      </c>
      <c r="O26" s="52" t="s">
        <v>115</v>
      </c>
      <c r="P26" s="53" t="s">
        <v>116</v>
      </c>
    </row>
    <row r="27" spans="1:16" x14ac:dyDescent="0.2">
      <c r="B27" s="2"/>
      <c r="E27" s="49"/>
      <c r="F27" s="2"/>
    </row>
    <row r="28" spans="1:16" x14ac:dyDescent="0.2">
      <c r="B28" s="2"/>
      <c r="E28" s="49"/>
      <c r="F28" s="2"/>
    </row>
    <row r="29" spans="1:16" x14ac:dyDescent="0.2">
      <c r="B29" s="2"/>
      <c r="E29" s="49"/>
      <c r="F29" s="2"/>
    </row>
    <row r="30" spans="1:16" x14ac:dyDescent="0.2">
      <c r="B30" s="2"/>
      <c r="E30" s="49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</sheetData>
  <phoneticPr fontId="7" type="noConversion"/>
  <hyperlinks>
    <hyperlink ref="P11" r:id="rId1" display="http://www.bav-astro.de/sfs/BAVM_link.php?BAVMnr=102" xr:uid="{00000000-0004-0000-0100-000000000000}"/>
    <hyperlink ref="P12" r:id="rId2" display="http://www.bav-astro.de/sfs/BAVM_link.php?BAVMnr=102" xr:uid="{00000000-0004-0000-0100-000001000000}"/>
    <hyperlink ref="P13" r:id="rId3" display="http://www.bav-astro.de/sfs/BAVM_link.php?BAVMnr=118" xr:uid="{00000000-0004-0000-0100-000002000000}"/>
    <hyperlink ref="P14" r:id="rId4" display="http://www.bav-astro.de/sfs/BAVM_link.php?BAVMnr=102" xr:uid="{00000000-0004-0000-0100-000003000000}"/>
    <hyperlink ref="P15" r:id="rId5" display="http://www.bav-astro.de/sfs/BAVM_link.php?BAVMnr=118" xr:uid="{00000000-0004-0000-0100-000004000000}"/>
    <hyperlink ref="P16" r:id="rId6" display="http://www.bav-astro.de/sfs/BAVM_link.php?BAVMnr=118" xr:uid="{00000000-0004-0000-0100-000005000000}"/>
    <hyperlink ref="P17" r:id="rId7" display="http://www.konkoly.hu/cgi-bin/IBVS?5653" xr:uid="{00000000-0004-0000-0100-000006000000}"/>
    <hyperlink ref="P18" r:id="rId8" display="http://www.konkoly.hu/cgi-bin/IBVS?5871" xr:uid="{00000000-0004-0000-0100-000007000000}"/>
    <hyperlink ref="P19" r:id="rId9" display="http://www.konkoly.hu/cgi-bin/IBVS?5871" xr:uid="{00000000-0004-0000-0100-000008000000}"/>
    <hyperlink ref="P26" r:id="rId10" display="http://www.bav-astro.de/sfs/BAVM_link.php?BAVMnr=203" xr:uid="{00000000-0004-0000-0100-000009000000}"/>
    <hyperlink ref="P20" r:id="rId11" display="http://www.bav-astro.de/sfs/BAVM_link.php?BAVMnr=209" xr:uid="{00000000-0004-0000-0100-00000A000000}"/>
    <hyperlink ref="P21" r:id="rId12" display="http://www.konkoly.hu/cgi-bin/IBVS?5960" xr:uid="{00000000-0004-0000-0100-00000B000000}"/>
    <hyperlink ref="P22" r:id="rId13" display="http://www.konkoly.hu/cgi-bin/IBVS?5966" xr:uid="{00000000-0004-0000-0100-00000C000000}"/>
    <hyperlink ref="P23" r:id="rId14" display="http://www.konkoly.hu/cgi-bin/IBVS?6011" xr:uid="{00000000-0004-0000-0100-00000D000000}"/>
    <hyperlink ref="P24" r:id="rId15" display="http://www.konkoly.hu/cgi-bin/IBVS?6063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2023-08-17T08:03:22Z</dcterms:modified>
</cp:coreProperties>
</file>