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4FFF489-DD02-47CE-9EB2-41E9ED58E57F}" xr6:coauthVersionLast="47" xr6:coauthVersionMax="47" xr10:uidLastSave="{00000000-0000-0000-0000-000000000000}"/>
  <bookViews>
    <workbookView xWindow="13860" yWindow="675" windowWidth="14325" windowHeight="14490" xr2:uid="{00000000-000D-0000-FFFF-FFFF00000000}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E23" i="1" l="1"/>
  <c r="F23" i="1"/>
  <c r="G23" i="1"/>
  <c r="H23" i="1"/>
  <c r="C11" i="1"/>
  <c r="C12" i="1"/>
  <c r="O23" i="1"/>
  <c r="Q23" i="1"/>
  <c r="E22" i="1"/>
  <c r="F22" i="1"/>
  <c r="G22" i="1"/>
  <c r="H22" i="1"/>
  <c r="Q22" i="1"/>
  <c r="C21" i="1"/>
  <c r="Q21" i="1"/>
  <c r="A21" i="1"/>
  <c r="G11" i="1"/>
  <c r="F11" i="1"/>
  <c r="E15" i="1"/>
  <c r="C17" i="1"/>
  <c r="E21" i="1"/>
  <c r="F21" i="1"/>
  <c r="G21" i="1"/>
  <c r="H21" i="1"/>
  <c r="O22" i="1"/>
  <c r="C16" i="1"/>
  <c r="D18" i="1"/>
  <c r="O21" i="1"/>
  <c r="C15" i="1"/>
  <c r="C18" i="1"/>
  <c r="E16" i="1"/>
  <c r="E17" i="1"/>
</calcChain>
</file>

<file path=xl/sharedStrings.xml><?xml version="1.0" encoding="utf-8"?>
<sst xmlns="http://schemas.openxmlformats.org/spreadsheetml/2006/main" count="56" uniqueCount="48">
  <si>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</si>
  <si>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</si>
  <si>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</si>
  <si>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</si>
  <si>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</si>
  <si>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</si>
  <si>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</si>
  <si>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</si>
  <si>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</si>
  <si>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</si>
  <si>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</si>
  <si>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</si>
  <si>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</si>
  <si>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</si>
  <si>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</si>
  <si>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</si>
  <si>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</si>
  <si>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</si>
  <si>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</si>
  <si>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</si>
  <si>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</si>
  <si>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</si>
  <si>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</si>
  <si>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</si>
  <si>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</si>
  <si>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</si>
  <si>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</si>
  <si>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</si>
  <si>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</si>
  <si>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</si>
  <si>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</si>
  <si>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</si>
  <si>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</si>
  <si>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</si>
  <si>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</si>
  <si>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</si>
  <si>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</si>
  <si>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</si>
  <si>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G8399-2069_Tel.xls</t>
  </si>
  <si>
    <t>EW/KW</t>
  </si>
  <si>
    <t>IBVS 5495 Eph.</t>
  </si>
  <si>
    <t>IBVS 5495</t>
  </si>
  <si>
    <t>Tel</t>
  </si>
  <si>
    <t>V0368 Tel / GSC 8399 2069 / NSV 12502</t>
  </si>
  <si>
    <t>II</t>
  </si>
  <si>
    <t>RAA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</si>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</sst>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000000"/>
    <numFmt numFmtId="166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/>
    <xf numFmtId="165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166" fontId="17" fillId="0" borderId="0" xfId="0" applyNumberFormat="1" applyFont="1" applyAlignment="1"/>
    <xf numFmtId="0" fontId="14" fillId="0" borderId="6" xfId="0" applyFont="1" applyBorder="1" applyAlignment="1"/>
    <xf numFmtId="0" fontId="0" fillId="0" borderId="6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V0368 Tel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3.8881999949808232E-2</c:v>
                </c:pt>
                <c:pt idx="2">
                  <c:v>3.8424000093073118E-2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E2-4548-A193-A3E0C2EDF8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E2-4548-A193-A3E0C2EDF8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E2-4548-A193-A3E0C2EDF8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E2-4548-A193-A3E0C2EDF8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E2-4548-A193-A3E0C2EDF8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E2-4548-A193-A3E0C2EDF8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E2-4548-A193-A3E0C2EDF8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1.385949648567697E-6</c:v>
                </c:pt>
                <c:pt idx="1">
                  <c:v>3.856707129277831E-2</c:v>
                </c:pt>
                <c:pt idx="2">
                  <c:v>3.8737542800454466E-2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E2-4548-A193-A3E0C2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987304"/>
        <c:axId val="1"/>
      </c:scatterChart>
      <c:valAx>
        <c:axId val="710987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987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0</xdr:rowOff>
    </xdr:from>
    <xdr:to>
      <xdr:col>16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3CD3D0-430C-F185-3D8F-35563EF7C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3.140625" customWidth="1"/>
  </cols>
  <sheetData>
    <row r="1" spans="1:19" ht="20.25" x14ac:dyDescent="0.3">
      <c r="A1" s="1" t="s">
        <v>43</v>
      </c>
      <c r="E1" s="31"/>
      <c r="F1" s="31" t="s">
        <v>38</v>
      </c>
      <c r="G1" s="32" t="s">
        <v>39</v>
      </c>
      <c r="H1" s="10" t="s">
        <v>40</v>
      </c>
      <c r="I1" s="33">
        <v>52202.55</v>
      </c>
      <c r="J1" s="33">
        <v>0.286829</v>
      </c>
      <c r="K1" s="32" t="s">
        <v>41</v>
      </c>
      <c r="L1" s="30" t="s">
        <v>42</v>
      </c>
      <c r="S1" s="39" t="s">
        <v>47</v>
      </c>
    </row>
    <row r="2" spans="1:19" x14ac:dyDescent="0.2">
      <c r="A2" t="s">
        <v>23</v>
      </c>
      <c r="B2" t="s">
        <v>39</v>
      </c>
      <c r="C2" s="9" t="s">
        <v>42</v>
      </c>
      <c r="D2" t="s">
        <v>38</v>
      </c>
      <c r="S2" s="39" t="s">
        <v>45</v>
      </c>
    </row>
    <row r="3" spans="1:19" ht="13.5" thickBot="1" x14ac:dyDescent="0.25">
      <c r="S3" s="39" t="s">
        <v>46</v>
      </c>
    </row>
    <row r="4" spans="1:19" ht="14.25" thickTop="1" thickBot="1" x14ac:dyDescent="0.25">
      <c r="A4" s="29" t="s">
        <v>40</v>
      </c>
      <c r="C4" s="7">
        <v>52202.55</v>
      </c>
      <c r="D4" s="8">
        <v>0.286829</v>
      </c>
      <c r="S4" s="40"/>
    </row>
    <row r="5" spans="1:19" x14ac:dyDescent="0.2">
      <c r="S5" s="40"/>
    </row>
    <row r="6" spans="1:19" x14ac:dyDescent="0.2">
      <c r="A6" s="4" t="s">
        <v>0</v>
      </c>
    </row>
    <row r="7" spans="1:19" x14ac:dyDescent="0.2">
      <c r="A7" t="s">
        <v>1</v>
      </c>
      <c r="C7">
        <v>52202.55</v>
      </c>
    </row>
    <row r="8" spans="1:19" x14ac:dyDescent="0.2">
      <c r="A8" t="s">
        <v>2</v>
      </c>
      <c r="C8">
        <v>0.286829</v>
      </c>
    </row>
    <row r="9" spans="1:19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9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9" x14ac:dyDescent="0.2">
      <c r="A11" s="11" t="s">
        <v>14</v>
      </c>
      <c r="B11" s="11"/>
      <c r="C11" s="24">
        <f ca="1">INTERCEPT(INDIRECT($G$11):G992,INDIRECT($F$11):F992)</f>
        <v>1.385949648567697E-6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9" x14ac:dyDescent="0.2">
      <c r="A12" s="11" t="s">
        <v>15</v>
      </c>
      <c r="B12" s="11"/>
      <c r="C12" s="24">
        <f ca="1">SLOPE(INDIRECT($G$11):G992,INDIRECT($F$11):F992)</f>
        <v>1.397307439968469E-6</v>
      </c>
      <c r="D12" s="13"/>
      <c r="E12" s="11"/>
    </row>
    <row r="13" spans="1:19" x14ac:dyDescent="0.2">
      <c r="A13" s="11" t="s">
        <v>18</v>
      </c>
      <c r="B13" s="11"/>
      <c r="C13" s="13" t="s">
        <v>12</v>
      </c>
      <c r="D13" s="13"/>
      <c r="E13" s="11"/>
    </row>
    <row r="14" spans="1:19" x14ac:dyDescent="0.2">
      <c r="A14" s="11"/>
      <c r="B14" s="11"/>
      <c r="C14" s="11"/>
      <c r="D14" s="11"/>
      <c r="E14" s="11"/>
    </row>
    <row r="15" spans="1:19" x14ac:dyDescent="0.2">
      <c r="A15" s="14" t="s">
        <v>16</v>
      </c>
      <c r="B15" s="11"/>
      <c r="C15" s="15">
        <f ca="1">(C7+C11)+(C8+C12)*INT(MAX(F21:F3533))</f>
        <v>60154.062275542798</v>
      </c>
      <c r="D15" s="16" t="s">
        <v>32</v>
      </c>
      <c r="E15" s="17">
        <f ca="1">TODAY()+15018.5-B9/24</f>
        <v>60179.5</v>
      </c>
    </row>
    <row r="16" spans="1:19" x14ac:dyDescent="0.2">
      <c r="A16" s="18" t="s">
        <v>3</v>
      </c>
      <c r="B16" s="11"/>
      <c r="C16" s="19">
        <f ca="1">+C8+C12</f>
        <v>0.28683039730743998</v>
      </c>
      <c r="D16" s="16" t="s">
        <v>33</v>
      </c>
      <c r="E16" s="17">
        <f ca="1">ROUND(2*(E15-C15)/C16,0)/2+1</f>
        <v>89.5</v>
      </c>
    </row>
    <row r="17" spans="1:17" ht="13.5" thickBot="1" x14ac:dyDescent="0.25">
      <c r="A17" s="16" t="s">
        <v>29</v>
      </c>
      <c r="B17" s="11"/>
      <c r="C17" s="11">
        <f>COUNT(C21:C2191)</f>
        <v>3</v>
      </c>
      <c r="D17" s="16" t="s">
        <v>34</v>
      </c>
      <c r="E17" s="20">
        <f ca="1">+C15+C16*E16-15018.5-C9/24</f>
        <v>45161.629429435146</v>
      </c>
    </row>
    <row r="18" spans="1:17" ht="14.25" thickTop="1" thickBot="1" x14ac:dyDescent="0.25">
      <c r="A18" s="18" t="s">
        <v>4</v>
      </c>
      <c r="B18" s="11"/>
      <c r="C18" s="21">
        <f ca="1">+C15</f>
        <v>60154.062275542798</v>
      </c>
      <c r="D18" s="22">
        <f ca="1">+C16</f>
        <v>0.28683039730743998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tr">
        <f>$K$1</f>
        <v>IBVS 5495</v>
      </c>
      <c r="C21" s="9">
        <f>+$C$4</f>
        <v>52202.55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1.385949648567697E-6</v>
      </c>
      <c r="Q21" s="2">
        <f>+C21-15018.5</f>
        <v>37184.050000000003</v>
      </c>
    </row>
    <row r="22" spans="1:17" ht="15" x14ac:dyDescent="0.25">
      <c r="A22" s="34" t="s">
        <v>46</v>
      </c>
      <c r="B22" s="35" t="s">
        <v>44</v>
      </c>
      <c r="C22" s="34">
        <v>60119.069281999953</v>
      </c>
      <c r="D22" s="34">
        <v>5.0799999999999999E-4</v>
      </c>
      <c r="E22">
        <f>+(C22-C$7)/C$8</f>
        <v>27600.135558119822</v>
      </c>
      <c r="F22">
        <f>ROUND(2*E22,0)/2</f>
        <v>27600</v>
      </c>
      <c r="G22">
        <f>+C22-(C$7+F22*C$8)</f>
        <v>3.8881999949808232E-2</v>
      </c>
      <c r="H22">
        <f>+G22</f>
        <v>3.8881999949808232E-2</v>
      </c>
      <c r="O22">
        <f ca="1">+C$11+C$12*$F22</f>
        <v>3.856707129277831E-2</v>
      </c>
      <c r="Q22" s="2">
        <f>+C22-15018.5</f>
        <v>45100.569281999953</v>
      </c>
    </row>
    <row r="23" spans="1:17" x14ac:dyDescent="0.2">
      <c r="A23" s="36" t="s">
        <v>45</v>
      </c>
      <c r="B23" s="37" t="s">
        <v>44</v>
      </c>
      <c r="C23" s="36">
        <v>60154.061962000094</v>
      </c>
      <c r="D23" s="38">
        <v>8.9999999999999998E-4</v>
      </c>
      <c r="E23">
        <f>+(C23-C$7)/C$8</f>
        <v>27722.133961350111</v>
      </c>
      <c r="F23">
        <f>ROUND(2*E23,0)/2</f>
        <v>27722</v>
      </c>
      <c r="G23">
        <f>+C23-(C$7+F23*C$8)</f>
        <v>3.8424000093073118E-2</v>
      </c>
      <c r="H23">
        <f>+G23</f>
        <v>3.8424000093073118E-2</v>
      </c>
      <c r="O23">
        <f ca="1">+C$11+C$12*$F23</f>
        <v>3.8737542800454466E-2</v>
      </c>
      <c r="Q23" s="2">
        <f>+C23-15018.5</f>
        <v>45135.561962000094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2023-08-23T08:45:54Z</dcterms:modified>
</cp:coreProperties>
</file>