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FCA8EFF5-EA87-46F2-9B58-D03AC69E777C}" xr6:coauthVersionLast="47" xr6:coauthVersionMax="47" xr10:uidLastSave="{00000000-0000-0000-0000-000000000000}"/>
  <bookViews>
    <workbookView xWindow="14100" yWindow="615" windowWidth="14325" windowHeight="14490"/>
  </bookViews>
  <sheets>
    <sheet name="Active" sheetId="2" r:id="rId1"/>
    <sheet name="Inactive" sheetId="1" r:id="rId2"/>
  </sheets>
  <calcPr calcId="181029" concurrentCalc="0"/>
</workbook>
</file>

<file path=xl/calcChain.xml><?xml version="1.0" encoding="utf-8"?>
<calcChain xmlns="http://schemas.openxmlformats.org/spreadsheetml/2006/main">
  <c r="E32" i="2" l="1"/>
  <c r="F32" i="2"/>
  <c r="G32" i="2"/>
  <c r="K32" i="2"/>
  <c r="C11" i="2"/>
  <c r="C12" i="2"/>
  <c r="O32" i="2"/>
  <c r="Q32" i="2"/>
  <c r="F22" i="2"/>
  <c r="G22" i="2"/>
  <c r="K22" i="2"/>
  <c r="F24" i="2"/>
  <c r="G24" i="2"/>
  <c r="K24" i="2"/>
  <c r="F30" i="2"/>
  <c r="G30" i="2"/>
  <c r="K30" i="2"/>
  <c r="E27" i="2"/>
  <c r="F27" i="2"/>
  <c r="G27" i="2"/>
  <c r="K27" i="2"/>
  <c r="E28" i="2"/>
  <c r="F28" i="2"/>
  <c r="G28" i="2"/>
  <c r="K28" i="2"/>
  <c r="E29" i="2"/>
  <c r="F29" i="2"/>
  <c r="G29" i="2"/>
  <c r="K29" i="2"/>
  <c r="E30" i="2"/>
  <c r="E31" i="2"/>
  <c r="F31" i="2"/>
  <c r="G31" i="2"/>
  <c r="K31" i="2"/>
  <c r="D9" i="2"/>
  <c r="C9" i="2"/>
  <c r="Q27" i="2"/>
  <c r="Q28" i="2"/>
  <c r="Q29" i="2"/>
  <c r="Q30" i="2"/>
  <c r="Q31" i="2"/>
  <c r="E25" i="2"/>
  <c r="F25" i="2"/>
  <c r="G25" i="2"/>
  <c r="K25" i="2"/>
  <c r="E26" i="2"/>
  <c r="F26" i="2"/>
  <c r="G26" i="2"/>
  <c r="K26" i="2"/>
  <c r="E22" i="2"/>
  <c r="E23" i="2"/>
  <c r="F23" i="2"/>
  <c r="G23" i="2"/>
  <c r="K23" i="2"/>
  <c r="E24" i="2"/>
  <c r="Q25" i="2"/>
  <c r="Q26" i="2"/>
  <c r="F16" i="2"/>
  <c r="F17" i="2"/>
  <c r="E21" i="2"/>
  <c r="F21" i="2"/>
  <c r="G21" i="2"/>
  <c r="K21" i="2"/>
  <c r="C17" i="2"/>
  <c r="Q21" i="2"/>
  <c r="Q22" i="2"/>
  <c r="Q23" i="2"/>
  <c r="Q24" i="2"/>
  <c r="E22" i="1"/>
  <c r="F22" i="1"/>
  <c r="G22" i="1"/>
  <c r="I22" i="1"/>
  <c r="E23" i="1"/>
  <c r="F23" i="1"/>
  <c r="G23" i="1"/>
  <c r="I23" i="1"/>
  <c r="E24" i="1"/>
  <c r="F24" i="1"/>
  <c r="G24" i="1"/>
  <c r="I24" i="1"/>
  <c r="F11" i="1"/>
  <c r="Q22" i="1"/>
  <c r="Q23" i="1"/>
  <c r="Q24" i="1"/>
  <c r="E21" i="1"/>
  <c r="F21" i="1"/>
  <c r="G21" i="1"/>
  <c r="H21" i="1"/>
  <c r="E14" i="1"/>
  <c r="E15" i="1"/>
  <c r="G11" i="1"/>
  <c r="C17" i="1"/>
  <c r="Q21" i="1"/>
  <c r="C11" i="1"/>
  <c r="C12" i="1"/>
  <c r="C16" i="1"/>
  <c r="D18" i="1"/>
  <c r="C16" i="2"/>
  <c r="D18" i="2"/>
  <c r="O21" i="1"/>
  <c r="O24" i="1"/>
  <c r="O22" i="1"/>
  <c r="O23" i="1"/>
  <c r="C15" i="1"/>
  <c r="O28" i="2"/>
  <c r="O31" i="2"/>
  <c r="O25" i="2"/>
  <c r="C15" i="2"/>
  <c r="O23" i="2"/>
  <c r="O26" i="2"/>
  <c r="O30" i="2"/>
  <c r="O29" i="2"/>
  <c r="O21" i="2"/>
  <c r="O22" i="2"/>
  <c r="O24" i="2"/>
  <c r="O27" i="2"/>
  <c r="E16" i="1"/>
  <c r="E17" i="1"/>
  <c r="C18" i="1"/>
  <c r="C18" i="2"/>
  <c r="F18" i="2"/>
  <c r="F19" i="2"/>
</calcChain>
</file>

<file path=xl/sharedStrings.xml><?xml version="1.0" encoding="utf-8"?>
<sst xmlns="http://schemas.openxmlformats.org/spreadsheetml/2006/main" count="131" uniqueCount="57">
  <si>
    <t>OEJV 0189</t>
  </si>
  <si>
    <t>OEJV 0198</t>
  </si>
  <si>
    <t>PE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</si>
  <si>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</si>
  <si>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</si>
  <si>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</si>
  <si>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</si>
  <si>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</si>
  <si>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</si>
  <si>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</si>
  <si>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</si>
  <si>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</si>
  <si>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</si>
  <si>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</si>
  <si>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</si>
  <si>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</si>
  <si>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</si>
  <si>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</si>
  <si>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</si>
  <si>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</si>
  <si>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</si>
  <si>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</si>
  <si>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</si>
  <si>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</si>
  <si>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</si>
  <si>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</si>
  <si>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</si>
  <si>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</si>
  <si>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</si>
  <si>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</si>
  <si>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</si>
  <si>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</si>
  <si>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</si>
  <si>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</si>
  <si>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</si>
  <si>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</si>
  <si>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</si>
  <si>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</si>
  <si>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</si>
  <si>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</si>
  <si>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</si>
  <si>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Add cycle</t>
  </si>
  <si>
    <t>Old Cycle</t>
  </si>
  <si>
    <t>New Cycle</t>
  </si>
  <si>
    <t>DX Tuc / GSC 9130-1530</t>
  </si>
  <si>
    <t>not avail.</t>
  </si>
  <si>
    <t>J.M. Kreiner, 2004, Acta Astronomica, vol. 54, pp 207-210.</t>
  </si>
  <si>
    <t>Kreiner</t>
  </si>
  <si>
    <t>EW</t>
  </si>
  <si>
    <t>Szalai 2007</t>
  </si>
  <si>
    <t>Szalai 2007A&amp;A...465..943</t>
  </si>
  <si>
    <t>II</t>
  </si>
  <si>
    <t>I</t>
  </si>
  <si>
    <t>Szalai</t>
  </si>
  <si>
    <t>OEJV 0130</t>
  </si>
  <si>
    <t>vis</t>
  </si>
  <si>
    <t>BMGA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</si>
</sst>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3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8" fillId="20" borderId="1" applyNumberFormat="0" applyAlignment="0" applyProtection="0"/>
    <xf numFmtId="0" fontId="19" fillId="21" borderId="2" applyNumberFormat="0" applyAlignment="0" applyProtection="0"/>
    <xf numFmtId="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21" fillId="0" borderId="0" applyNumberFormat="0" applyFill="0" applyBorder="0" applyAlignment="0" applyProtection="0"/>
    <xf numFmtId="2" fontId="30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25" fillId="0" borderId="4" applyNumberFormat="0" applyFill="0" applyAlignment="0" applyProtection="0"/>
    <xf numFmtId="0" fontId="26" fillId="22" borderId="0" applyNumberFormat="0" applyBorder="0" applyAlignment="0" applyProtection="0"/>
    <xf numFmtId="0" fontId="20" fillId="0" borderId="0"/>
    <xf numFmtId="0" fontId="20" fillId="23" borderId="5" applyNumberFormat="0" applyFont="0" applyAlignment="0" applyProtection="0"/>
    <xf numFmtId="0" fontId="27" fillId="20" borderId="6" applyNumberFormat="0" applyAlignment="0" applyProtection="0"/>
    <xf numFmtId="0" fontId="28" fillId="0" borderId="0" applyNumberFormat="0" applyFill="0" applyBorder="0" applyAlignment="0" applyProtection="0"/>
    <xf numFmtId="0" fontId="30" fillId="0" borderId="7" applyNumberFormat="0" applyFont="0" applyFill="0" applyAlignment="0" applyProtection="0"/>
    <xf numFmtId="0" fontId="29" fillId="0" borderId="0" applyNumberFormat="0" applyFill="0" applyBorder="0" applyAlignment="0" applyProtection="0"/>
  </cellStyleXfs>
  <cellXfs count="4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22" fontId="0" fillId="0" borderId="0" xfId="0" applyNumberFormat="1" applyAlignment="1">
      <alignment horizontal="center"/>
    </xf>
    <xf numFmtId="0" fontId="11" fillId="0" borderId="0" xfId="0" applyFont="1" applyAlignment="1"/>
    <xf numFmtId="0" fontId="0" fillId="0" borderId="5" xfId="0" applyBorder="1" applyAlignment="1"/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5" xfId="0" applyFont="1" applyBorder="1" applyAlignment="1"/>
    <xf numFmtId="0" fontId="14" fillId="0" borderId="0" xfId="41" applyFont="1" applyAlignment="1">
      <alignment horizontal="left"/>
    </xf>
    <xf numFmtId="0" fontId="14" fillId="0" borderId="0" xfId="41" applyFont="1" applyAlignment="1">
      <alignment horizontal="center"/>
    </xf>
    <xf numFmtId="0" fontId="31" fillId="0" borderId="0" xfId="0" applyFont="1" applyAlignment="1" applyProtection="1">
      <alignment horizontal="left"/>
      <protection locked="0"/>
    </xf>
    <xf numFmtId="0" fontId="31" fillId="0" borderId="0" xfId="0" applyFont="1" applyAlignment="1" applyProtection="1">
      <alignment horizontal="center"/>
      <protection locked="0"/>
    </xf>
    <xf numFmtId="172" fontId="31" fillId="0" borderId="0" xfId="0" applyNumberFormat="1" applyFont="1" applyAlignment="1" applyProtection="1">
      <protection locked="0"/>
    </xf>
    <xf numFmtId="0" fontId="31" fillId="0" borderId="0" xfId="0" applyFont="1" applyAlignment="1" applyProtection="1">
      <protection locked="0"/>
    </xf>
    <xf numFmtId="0" fontId="32" fillId="0" borderId="0" xfId="0" applyFont="1" applyAlignment="1"/>
    <xf numFmtId="0" fontId="32" fillId="0" borderId="0" xfId="0" applyFont="1" applyAlignment="1">
      <alignment horizontal="center"/>
    </xf>
    <xf numFmtId="172" fontId="32" fillId="0" borderId="0" xfId="0" applyNumberFormat="1" applyFont="1" applyAlignment="1"/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DX Tuc - O-C Diagr.</a:t>
            </a:r>
          </a:p>
        </c:rich>
      </c:tx>
      <c:layout>
        <c:manualLayout>
          <c:xMode val="edge"/>
          <c:yMode val="edge"/>
          <c:x val="0.3864661654135338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4">
                    <c:v>8.9999999999999993E-3</c:v>
                  </c:pt>
                  <c:pt idx="5">
                    <c:v>8.9999999999999993E-3</c:v>
                  </c:pt>
                  <c:pt idx="6">
                    <c:v>1.8E-3</c:v>
                  </c:pt>
                  <c:pt idx="7">
                    <c:v>1.8E-3</c:v>
                  </c:pt>
                  <c:pt idx="8">
                    <c:v>1.9E-3</c:v>
                  </c:pt>
                  <c:pt idx="9">
                    <c:v>4.6000000000000001E-4</c:v>
                  </c:pt>
                  <c:pt idx="10">
                    <c:v>1.9E-3</c:v>
                  </c:pt>
                  <c:pt idx="11">
                    <c:v>2.333E-3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4">
                    <c:v>8.9999999999999993E-3</c:v>
                  </c:pt>
                  <c:pt idx="5">
                    <c:v>8.9999999999999993E-3</c:v>
                  </c:pt>
                  <c:pt idx="6">
                    <c:v>1.8E-3</c:v>
                  </c:pt>
                  <c:pt idx="7">
                    <c:v>1.8E-3</c:v>
                  </c:pt>
                  <c:pt idx="8">
                    <c:v>1.9E-3</c:v>
                  </c:pt>
                  <c:pt idx="9">
                    <c:v>4.6000000000000001E-4</c:v>
                  </c:pt>
                  <c:pt idx="10">
                    <c:v>1.9E-3</c:v>
                  </c:pt>
                  <c:pt idx="11">
                    <c:v>2.333E-3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1821.5</c:v>
                </c:pt>
                <c:pt idx="2">
                  <c:v>1824.5</c:v>
                </c:pt>
                <c:pt idx="3">
                  <c:v>1827</c:v>
                </c:pt>
                <c:pt idx="4">
                  <c:v>7646</c:v>
                </c:pt>
                <c:pt idx="5">
                  <c:v>7646</c:v>
                </c:pt>
                <c:pt idx="6">
                  <c:v>14536.5</c:v>
                </c:pt>
                <c:pt idx="7">
                  <c:v>14539</c:v>
                </c:pt>
                <c:pt idx="8">
                  <c:v>14539.5</c:v>
                </c:pt>
                <c:pt idx="9">
                  <c:v>15708.5</c:v>
                </c:pt>
                <c:pt idx="10">
                  <c:v>15735</c:v>
                </c:pt>
                <c:pt idx="11">
                  <c:v>20336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FE7-47F8-B98D-B2A7D8E853F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4">
                    <c:v>8.9999999999999993E-3</c:v>
                  </c:pt>
                  <c:pt idx="5">
                    <c:v>8.9999999999999993E-3</c:v>
                  </c:pt>
                  <c:pt idx="6">
                    <c:v>1.8E-3</c:v>
                  </c:pt>
                  <c:pt idx="7">
                    <c:v>1.8E-3</c:v>
                  </c:pt>
                  <c:pt idx="8">
                    <c:v>1.9E-3</c:v>
                  </c:pt>
                  <c:pt idx="9">
                    <c:v>4.6000000000000001E-4</c:v>
                  </c:pt>
                  <c:pt idx="10">
                    <c:v>1.9E-3</c:v>
                  </c:pt>
                  <c:pt idx="11">
                    <c:v>2.333E-3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4">
                    <c:v>8.9999999999999993E-3</c:v>
                  </c:pt>
                  <c:pt idx="5">
                    <c:v>8.9999999999999993E-3</c:v>
                  </c:pt>
                  <c:pt idx="6">
                    <c:v>1.8E-3</c:v>
                  </c:pt>
                  <c:pt idx="7">
                    <c:v>1.8E-3</c:v>
                  </c:pt>
                  <c:pt idx="8">
                    <c:v>1.9E-3</c:v>
                  </c:pt>
                  <c:pt idx="9">
                    <c:v>4.6000000000000001E-4</c:v>
                  </c:pt>
                  <c:pt idx="10">
                    <c:v>1.9E-3</c:v>
                  </c:pt>
                  <c:pt idx="11">
                    <c:v>2.333E-3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1821.5</c:v>
                </c:pt>
                <c:pt idx="2">
                  <c:v>1824.5</c:v>
                </c:pt>
                <c:pt idx="3">
                  <c:v>1827</c:v>
                </c:pt>
                <c:pt idx="4">
                  <c:v>7646</c:v>
                </c:pt>
                <c:pt idx="5">
                  <c:v>7646</c:v>
                </c:pt>
                <c:pt idx="6">
                  <c:v>14536.5</c:v>
                </c:pt>
                <c:pt idx="7">
                  <c:v>14539</c:v>
                </c:pt>
                <c:pt idx="8">
                  <c:v>14539.5</c:v>
                </c:pt>
                <c:pt idx="9">
                  <c:v>15708.5</c:v>
                </c:pt>
                <c:pt idx="10">
                  <c:v>15735</c:v>
                </c:pt>
                <c:pt idx="11">
                  <c:v>20336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FE7-47F8-B98D-B2A7D8E853F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4">
                    <c:v>8.9999999999999993E-3</c:v>
                  </c:pt>
                  <c:pt idx="5">
                    <c:v>8.9999999999999993E-3</c:v>
                  </c:pt>
                  <c:pt idx="6">
                    <c:v>1.8E-3</c:v>
                  </c:pt>
                  <c:pt idx="7">
                    <c:v>1.8E-3</c:v>
                  </c:pt>
                  <c:pt idx="8">
                    <c:v>1.9E-3</c:v>
                  </c:pt>
                  <c:pt idx="9">
                    <c:v>4.6000000000000001E-4</c:v>
                  </c:pt>
                  <c:pt idx="10">
                    <c:v>1.9E-3</c:v>
                  </c:pt>
                  <c:pt idx="11">
                    <c:v>2.333E-3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4">
                    <c:v>8.9999999999999993E-3</c:v>
                  </c:pt>
                  <c:pt idx="5">
                    <c:v>8.9999999999999993E-3</c:v>
                  </c:pt>
                  <c:pt idx="6">
                    <c:v>1.8E-3</c:v>
                  </c:pt>
                  <c:pt idx="7">
                    <c:v>1.8E-3</c:v>
                  </c:pt>
                  <c:pt idx="8">
                    <c:v>1.9E-3</c:v>
                  </c:pt>
                  <c:pt idx="9">
                    <c:v>4.6000000000000001E-4</c:v>
                  </c:pt>
                  <c:pt idx="10">
                    <c:v>1.9E-3</c:v>
                  </c:pt>
                  <c:pt idx="11">
                    <c:v>2.333E-3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1821.5</c:v>
                </c:pt>
                <c:pt idx="2">
                  <c:v>1824.5</c:v>
                </c:pt>
                <c:pt idx="3">
                  <c:v>1827</c:v>
                </c:pt>
                <c:pt idx="4">
                  <c:v>7646</c:v>
                </c:pt>
                <c:pt idx="5">
                  <c:v>7646</c:v>
                </c:pt>
                <c:pt idx="6">
                  <c:v>14536.5</c:v>
                </c:pt>
                <c:pt idx="7">
                  <c:v>14539</c:v>
                </c:pt>
                <c:pt idx="8">
                  <c:v>14539.5</c:v>
                </c:pt>
                <c:pt idx="9">
                  <c:v>15708.5</c:v>
                </c:pt>
                <c:pt idx="10">
                  <c:v>15735</c:v>
                </c:pt>
                <c:pt idx="11">
                  <c:v>20336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FE7-47F8-B98D-B2A7D8E853F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4">
                    <c:v>8.9999999999999993E-3</c:v>
                  </c:pt>
                  <c:pt idx="5">
                    <c:v>8.9999999999999993E-3</c:v>
                  </c:pt>
                  <c:pt idx="6">
                    <c:v>1.8E-3</c:v>
                  </c:pt>
                  <c:pt idx="7">
                    <c:v>1.8E-3</c:v>
                  </c:pt>
                  <c:pt idx="8">
                    <c:v>1.9E-3</c:v>
                  </c:pt>
                  <c:pt idx="9">
                    <c:v>4.6000000000000001E-4</c:v>
                  </c:pt>
                  <c:pt idx="10">
                    <c:v>1.9E-3</c:v>
                  </c:pt>
                  <c:pt idx="11">
                    <c:v>2.333E-3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4">
                    <c:v>8.9999999999999993E-3</c:v>
                  </c:pt>
                  <c:pt idx="5">
                    <c:v>8.9999999999999993E-3</c:v>
                  </c:pt>
                  <c:pt idx="6">
                    <c:v>1.8E-3</c:v>
                  </c:pt>
                  <c:pt idx="7">
                    <c:v>1.8E-3</c:v>
                  </c:pt>
                  <c:pt idx="8">
                    <c:v>1.9E-3</c:v>
                  </c:pt>
                  <c:pt idx="9">
                    <c:v>4.6000000000000001E-4</c:v>
                  </c:pt>
                  <c:pt idx="10">
                    <c:v>1.9E-3</c:v>
                  </c:pt>
                  <c:pt idx="11">
                    <c:v>2.333E-3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1821.5</c:v>
                </c:pt>
                <c:pt idx="2">
                  <c:v>1824.5</c:v>
                </c:pt>
                <c:pt idx="3">
                  <c:v>1827</c:v>
                </c:pt>
                <c:pt idx="4">
                  <c:v>7646</c:v>
                </c:pt>
                <c:pt idx="5">
                  <c:v>7646</c:v>
                </c:pt>
                <c:pt idx="6">
                  <c:v>14536.5</c:v>
                </c:pt>
                <c:pt idx="7">
                  <c:v>14539</c:v>
                </c:pt>
                <c:pt idx="8">
                  <c:v>14539.5</c:v>
                </c:pt>
                <c:pt idx="9">
                  <c:v>15708.5</c:v>
                </c:pt>
                <c:pt idx="10">
                  <c:v>15735</c:v>
                </c:pt>
                <c:pt idx="11">
                  <c:v>20336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-5.3822500194655731E-4</c:v>
                </c:pt>
                <c:pt idx="2">
                  <c:v>1.3132500316714868E-4</c:v>
                </c:pt>
                <c:pt idx="3">
                  <c:v>5.5595000594621524E-4</c:v>
                </c:pt>
                <c:pt idx="4">
                  <c:v>-1.6506899999512825E-2</c:v>
                </c:pt>
                <c:pt idx="5">
                  <c:v>-8.5068999978830107E-3</c:v>
                </c:pt>
                <c:pt idx="6">
                  <c:v>-2.9595474872621708E-2</c:v>
                </c:pt>
                <c:pt idx="7">
                  <c:v>-3.0270849769294728E-2</c:v>
                </c:pt>
                <c:pt idx="8">
                  <c:v>-3.0225924769183621E-2</c:v>
                </c:pt>
                <c:pt idx="9">
                  <c:v>-3.0121274998236913E-2</c:v>
                </c:pt>
                <c:pt idx="10">
                  <c:v>-3.3510250003018882E-2</c:v>
                </c:pt>
                <c:pt idx="11">
                  <c:v>-4.4118400212028064E-2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FE7-47F8-B98D-B2A7D8E853F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4">
                    <c:v>8.9999999999999993E-3</c:v>
                  </c:pt>
                  <c:pt idx="5">
                    <c:v>8.9999999999999993E-3</c:v>
                  </c:pt>
                  <c:pt idx="6">
                    <c:v>1.8E-3</c:v>
                  </c:pt>
                  <c:pt idx="7">
                    <c:v>1.8E-3</c:v>
                  </c:pt>
                  <c:pt idx="8">
                    <c:v>1.9E-3</c:v>
                  </c:pt>
                  <c:pt idx="9">
                    <c:v>4.6000000000000001E-4</c:v>
                  </c:pt>
                  <c:pt idx="10">
                    <c:v>1.9E-3</c:v>
                  </c:pt>
                  <c:pt idx="11">
                    <c:v>2.333E-3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4">
                    <c:v>8.9999999999999993E-3</c:v>
                  </c:pt>
                  <c:pt idx="5">
                    <c:v>8.9999999999999993E-3</c:v>
                  </c:pt>
                  <c:pt idx="6">
                    <c:v>1.8E-3</c:v>
                  </c:pt>
                  <c:pt idx="7">
                    <c:v>1.8E-3</c:v>
                  </c:pt>
                  <c:pt idx="8">
                    <c:v>1.9E-3</c:v>
                  </c:pt>
                  <c:pt idx="9">
                    <c:v>4.6000000000000001E-4</c:v>
                  </c:pt>
                  <c:pt idx="10">
                    <c:v>1.9E-3</c:v>
                  </c:pt>
                  <c:pt idx="11">
                    <c:v>2.333E-3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1821.5</c:v>
                </c:pt>
                <c:pt idx="2">
                  <c:v>1824.5</c:v>
                </c:pt>
                <c:pt idx="3">
                  <c:v>1827</c:v>
                </c:pt>
                <c:pt idx="4">
                  <c:v>7646</c:v>
                </c:pt>
                <c:pt idx="5">
                  <c:v>7646</c:v>
                </c:pt>
                <c:pt idx="6">
                  <c:v>14536.5</c:v>
                </c:pt>
                <c:pt idx="7">
                  <c:v>14539</c:v>
                </c:pt>
                <c:pt idx="8">
                  <c:v>14539.5</c:v>
                </c:pt>
                <c:pt idx="9">
                  <c:v>15708.5</c:v>
                </c:pt>
                <c:pt idx="10">
                  <c:v>15735</c:v>
                </c:pt>
                <c:pt idx="11">
                  <c:v>20336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FE7-47F8-B98D-B2A7D8E853F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4">
                    <c:v>8.9999999999999993E-3</c:v>
                  </c:pt>
                  <c:pt idx="5">
                    <c:v>8.9999999999999993E-3</c:v>
                  </c:pt>
                  <c:pt idx="6">
                    <c:v>1.8E-3</c:v>
                  </c:pt>
                  <c:pt idx="7">
                    <c:v>1.8E-3</c:v>
                  </c:pt>
                  <c:pt idx="8">
                    <c:v>1.9E-3</c:v>
                  </c:pt>
                  <c:pt idx="9">
                    <c:v>4.6000000000000001E-4</c:v>
                  </c:pt>
                  <c:pt idx="10">
                    <c:v>1.9E-3</c:v>
                  </c:pt>
                  <c:pt idx="11">
                    <c:v>2.333E-3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4">
                    <c:v>8.9999999999999993E-3</c:v>
                  </c:pt>
                  <c:pt idx="5">
                    <c:v>8.9999999999999993E-3</c:v>
                  </c:pt>
                  <c:pt idx="6">
                    <c:v>1.8E-3</c:v>
                  </c:pt>
                  <c:pt idx="7">
                    <c:v>1.8E-3</c:v>
                  </c:pt>
                  <c:pt idx="8">
                    <c:v>1.9E-3</c:v>
                  </c:pt>
                  <c:pt idx="9">
                    <c:v>4.6000000000000001E-4</c:v>
                  </c:pt>
                  <c:pt idx="10">
                    <c:v>1.9E-3</c:v>
                  </c:pt>
                  <c:pt idx="11">
                    <c:v>2.333E-3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1821.5</c:v>
                </c:pt>
                <c:pt idx="2">
                  <c:v>1824.5</c:v>
                </c:pt>
                <c:pt idx="3">
                  <c:v>1827</c:v>
                </c:pt>
                <c:pt idx="4">
                  <c:v>7646</c:v>
                </c:pt>
                <c:pt idx="5">
                  <c:v>7646</c:v>
                </c:pt>
                <c:pt idx="6">
                  <c:v>14536.5</c:v>
                </c:pt>
                <c:pt idx="7">
                  <c:v>14539</c:v>
                </c:pt>
                <c:pt idx="8">
                  <c:v>14539.5</c:v>
                </c:pt>
                <c:pt idx="9">
                  <c:v>15708.5</c:v>
                </c:pt>
                <c:pt idx="10">
                  <c:v>15735</c:v>
                </c:pt>
                <c:pt idx="11">
                  <c:v>20336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FE7-47F8-B98D-B2A7D8E853F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4">
                    <c:v>8.9999999999999993E-3</c:v>
                  </c:pt>
                  <c:pt idx="5">
                    <c:v>8.9999999999999993E-3</c:v>
                  </c:pt>
                  <c:pt idx="6">
                    <c:v>1.8E-3</c:v>
                  </c:pt>
                  <c:pt idx="7">
                    <c:v>1.8E-3</c:v>
                  </c:pt>
                  <c:pt idx="8">
                    <c:v>1.9E-3</c:v>
                  </c:pt>
                  <c:pt idx="9">
                    <c:v>4.6000000000000001E-4</c:v>
                  </c:pt>
                  <c:pt idx="10">
                    <c:v>1.9E-3</c:v>
                  </c:pt>
                  <c:pt idx="11">
                    <c:v>2.333E-3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4">
                    <c:v>8.9999999999999993E-3</c:v>
                  </c:pt>
                  <c:pt idx="5">
                    <c:v>8.9999999999999993E-3</c:v>
                  </c:pt>
                  <c:pt idx="6">
                    <c:v>1.8E-3</c:v>
                  </c:pt>
                  <c:pt idx="7">
                    <c:v>1.8E-3</c:v>
                  </c:pt>
                  <c:pt idx="8">
                    <c:v>1.9E-3</c:v>
                  </c:pt>
                  <c:pt idx="9">
                    <c:v>4.6000000000000001E-4</c:v>
                  </c:pt>
                  <c:pt idx="10">
                    <c:v>1.9E-3</c:v>
                  </c:pt>
                  <c:pt idx="11">
                    <c:v>2.333E-3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1821.5</c:v>
                </c:pt>
                <c:pt idx="2">
                  <c:v>1824.5</c:v>
                </c:pt>
                <c:pt idx="3">
                  <c:v>1827</c:v>
                </c:pt>
                <c:pt idx="4">
                  <c:v>7646</c:v>
                </c:pt>
                <c:pt idx="5">
                  <c:v>7646</c:v>
                </c:pt>
                <c:pt idx="6">
                  <c:v>14536.5</c:v>
                </c:pt>
                <c:pt idx="7">
                  <c:v>14539</c:v>
                </c:pt>
                <c:pt idx="8">
                  <c:v>14539.5</c:v>
                </c:pt>
                <c:pt idx="9">
                  <c:v>15708.5</c:v>
                </c:pt>
                <c:pt idx="10">
                  <c:v>15735</c:v>
                </c:pt>
                <c:pt idx="11">
                  <c:v>20336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FE7-47F8-B98D-B2A7D8E853F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1821.5</c:v>
                </c:pt>
                <c:pt idx="2">
                  <c:v>1824.5</c:v>
                </c:pt>
                <c:pt idx="3">
                  <c:v>1827</c:v>
                </c:pt>
                <c:pt idx="4">
                  <c:v>7646</c:v>
                </c:pt>
                <c:pt idx="5">
                  <c:v>7646</c:v>
                </c:pt>
                <c:pt idx="6">
                  <c:v>14536.5</c:v>
                </c:pt>
                <c:pt idx="7">
                  <c:v>14539</c:v>
                </c:pt>
                <c:pt idx="8">
                  <c:v>14539.5</c:v>
                </c:pt>
                <c:pt idx="9">
                  <c:v>15708.5</c:v>
                </c:pt>
                <c:pt idx="10">
                  <c:v>15735</c:v>
                </c:pt>
                <c:pt idx="11">
                  <c:v>20336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4.7447814344815514E-3</c:v>
                </c:pt>
                <c:pt idx="1">
                  <c:v>4.340752382814379E-4</c:v>
                </c:pt>
                <c:pt idx="2">
                  <c:v>4.2697553002527498E-4</c:v>
                </c:pt>
                <c:pt idx="3">
                  <c:v>4.2105910647847328E-4</c:v>
                </c:pt>
                <c:pt idx="4">
                  <c:v>-1.3350008341058425E-2</c:v>
                </c:pt>
                <c:pt idx="5">
                  <c:v>-1.3350008341058425E-2</c:v>
                </c:pt>
                <c:pt idx="6">
                  <c:v>-2.9656854920754767E-2</c:v>
                </c:pt>
                <c:pt idx="7">
                  <c:v>-2.9662771344301564E-2</c:v>
                </c:pt>
                <c:pt idx="8">
                  <c:v>-2.9663954629010926E-2</c:v>
                </c:pt>
                <c:pt idx="9">
                  <c:v>-3.2430474279495657E-2</c:v>
                </c:pt>
                <c:pt idx="10">
                  <c:v>-3.2493188369091756E-2</c:v>
                </c:pt>
                <c:pt idx="11">
                  <c:v>-4.3381774264626603E-2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FE7-47F8-B98D-B2A7D8E853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8185776"/>
        <c:axId val="1"/>
      </c:scatterChart>
      <c:valAx>
        <c:axId val="688185776"/>
        <c:scaling>
          <c:orientation val="minMax"/>
          <c:min val="18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81857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86466165413534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DX Tuc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87969924812031"/>
          <c:y val="0.14076246334310852"/>
          <c:w val="0.80601503759398496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Inactive!$H$20:$H$20</c:f>
              <c:strCache>
                <c:ptCount val="1"/>
                <c:pt idx="0">
                  <c:v>Kreiner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Inactive!$D$21:$D$239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1821.5</c:v>
                </c:pt>
                <c:pt idx="2">
                  <c:v>1824.5</c:v>
                </c:pt>
                <c:pt idx="3">
                  <c:v>1827</c:v>
                </c:pt>
              </c:numCache>
            </c:numRef>
          </c:xVal>
          <c:yVal>
            <c:numRef>
              <c:f>Inactive!$H$21:$H$999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3F2-4B95-8328-90E60C72693A}"/>
            </c:ext>
          </c:extLst>
        </c:ser>
        <c:ser>
          <c:idx val="1"/>
          <c:order val="1"/>
          <c:tx>
            <c:strRef>
              <c:f>Inactive!$I$20:$I$20</c:f>
              <c:strCache>
                <c:ptCount val="1"/>
                <c:pt idx="0">
                  <c:v>Szalai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Inactive!$D$21:$D$999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1821.5</c:v>
                </c:pt>
                <c:pt idx="2">
                  <c:v>1824.5</c:v>
                </c:pt>
                <c:pt idx="3">
                  <c:v>1827</c:v>
                </c:pt>
              </c:numCache>
            </c:numRef>
          </c:xVal>
          <c:yVal>
            <c:numRef>
              <c:f>Inactive!$I$21:$I$999</c:f>
              <c:numCache>
                <c:formatCode>General</c:formatCode>
                <c:ptCount val="979"/>
                <c:pt idx="1">
                  <c:v>-5.3822500194655731E-4</c:v>
                </c:pt>
                <c:pt idx="2">
                  <c:v>1.3132500316714868E-4</c:v>
                </c:pt>
                <c:pt idx="3">
                  <c:v>5.5595000594621524E-4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3F2-4B95-8328-90E60C72693A}"/>
            </c:ext>
          </c:extLst>
        </c:ser>
        <c:ser>
          <c:idx val="3"/>
          <c:order val="2"/>
          <c:tx>
            <c:strRef>
              <c:f>Inactive!$J$20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Inactive!$D$21:$D$999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1821.5</c:v>
                </c:pt>
                <c:pt idx="2">
                  <c:v>1824.5</c:v>
                </c:pt>
                <c:pt idx="3">
                  <c:v>1827</c:v>
                </c:pt>
              </c:numCache>
            </c:numRef>
          </c:xVal>
          <c:yVal>
            <c:numRef>
              <c:f>Inactive!$J$21:$J$999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3F2-4B95-8328-90E60C72693A}"/>
            </c:ext>
          </c:extLst>
        </c:ser>
        <c:ser>
          <c:idx val="4"/>
          <c:order val="3"/>
          <c:tx>
            <c:strRef>
              <c:f>Inactive!$K$20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Inactive!$D$21:$D$999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1821.5</c:v>
                </c:pt>
                <c:pt idx="2">
                  <c:v>1824.5</c:v>
                </c:pt>
                <c:pt idx="3">
                  <c:v>1827</c:v>
                </c:pt>
              </c:numCache>
            </c:numRef>
          </c:xVal>
          <c:yVal>
            <c:numRef>
              <c:f>Inactive!$K$21:$K$999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3F2-4B95-8328-90E60C72693A}"/>
            </c:ext>
          </c:extLst>
        </c:ser>
        <c:ser>
          <c:idx val="2"/>
          <c:order val="4"/>
          <c:tx>
            <c:strRef>
              <c:f>Inactive!$L$20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Inactive!$D$21:$D$999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1821.5</c:v>
                </c:pt>
                <c:pt idx="2">
                  <c:v>1824.5</c:v>
                </c:pt>
                <c:pt idx="3">
                  <c:v>1827</c:v>
                </c:pt>
              </c:numCache>
            </c:numRef>
          </c:xVal>
          <c:yVal>
            <c:numRef>
              <c:f>Inactive!$L$21:$L$999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3F2-4B95-8328-90E60C72693A}"/>
            </c:ext>
          </c:extLst>
        </c:ser>
        <c:ser>
          <c:idx val="5"/>
          <c:order val="5"/>
          <c:tx>
            <c:strRef>
              <c:f>Inactive!$M$20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Inactive!$D$21:$D$999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1821.5</c:v>
                </c:pt>
                <c:pt idx="2">
                  <c:v>1824.5</c:v>
                </c:pt>
                <c:pt idx="3">
                  <c:v>1827</c:v>
                </c:pt>
              </c:numCache>
            </c:numRef>
          </c:xVal>
          <c:yVal>
            <c:numRef>
              <c:f>Inactive!$M$21:$M$999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3F2-4B95-8328-90E60C72693A}"/>
            </c:ext>
          </c:extLst>
        </c:ser>
        <c:ser>
          <c:idx val="6"/>
          <c:order val="6"/>
          <c:tx>
            <c:strRef>
              <c:f>Inactive!$N$20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Inactive!$D$21:$D$999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1821.5</c:v>
                </c:pt>
                <c:pt idx="2">
                  <c:v>1824.5</c:v>
                </c:pt>
                <c:pt idx="3">
                  <c:v>1827</c:v>
                </c:pt>
              </c:numCache>
            </c:numRef>
          </c:xVal>
          <c:yVal>
            <c:numRef>
              <c:f>Inactive!$N$21:$N$999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3F2-4B95-8328-90E60C72693A}"/>
            </c:ext>
          </c:extLst>
        </c:ser>
        <c:ser>
          <c:idx val="7"/>
          <c:order val="7"/>
          <c:tx>
            <c:strRef>
              <c:f>Inactive!$O$20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Inactive!$F$21:$F$999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1821.5</c:v>
                </c:pt>
                <c:pt idx="2">
                  <c:v>1824.5</c:v>
                </c:pt>
                <c:pt idx="3">
                  <c:v>1827</c:v>
                </c:pt>
              </c:numCache>
            </c:numRef>
          </c:xVal>
          <c:yVal>
            <c:numRef>
              <c:f>Inactive!$O$21:$O$999</c:f>
              <c:numCache>
                <c:formatCode>General</c:formatCode>
                <c:ptCount val="979"/>
                <c:pt idx="0">
                  <c:v>-1.6603107473760201E-6</c:v>
                </c:pt>
                <c:pt idx="1">
                  <c:v>5.0156172380656121E-5</c:v>
                </c:pt>
                <c:pt idx="2">
                  <c:v>5.0241513829672918E-5</c:v>
                </c:pt>
                <c:pt idx="3">
                  <c:v>5.0312631703853583E-5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3F2-4B95-8328-90E60C7269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8196216"/>
        <c:axId val="1"/>
      </c:scatterChart>
      <c:valAx>
        <c:axId val="6881962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533834586466167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81962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210526315789474"/>
          <c:y val="0.92375366568914952"/>
          <c:w val="0.675187969924812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50180" name="Chart 1">
          <a:extLst>
            <a:ext uri="{FF2B5EF4-FFF2-40B4-BE49-F238E27FC236}">
              <a16:creationId xmlns:a16="http://schemas.microsoft.com/office/drawing/2014/main" id="{D7CCFF19-1418-C488-DAF9-2316061A8D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C1AD6E9-EE30-E8D0-F83A-CB0762FAFF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F13" sqref="F13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44</v>
      </c>
    </row>
    <row r="2" spans="1:6" x14ac:dyDescent="0.2">
      <c r="A2" t="s">
        <v>29</v>
      </c>
      <c r="B2" t="s">
        <v>48</v>
      </c>
      <c r="D2" s="3"/>
      <c r="E2" s="29"/>
    </row>
    <row r="3" spans="1:6" ht="13.5" thickBot="1" x14ac:dyDescent="0.25"/>
    <row r="4" spans="1:6" ht="14.25" thickTop="1" thickBot="1" x14ac:dyDescent="0.25">
      <c r="A4" s="5" t="s">
        <v>5</v>
      </c>
      <c r="C4" s="8" t="s">
        <v>45</v>
      </c>
      <c r="D4" s="9" t="s">
        <v>45</v>
      </c>
    </row>
    <row r="5" spans="1:6" ht="13.5" thickTop="1" x14ac:dyDescent="0.2">
      <c r="A5" s="11" t="s">
        <v>35</v>
      </c>
      <c r="B5" s="12"/>
      <c r="C5" s="13">
        <v>-9.5</v>
      </c>
      <c r="D5" s="12" t="s">
        <v>36</v>
      </c>
    </row>
    <row r="6" spans="1:6" x14ac:dyDescent="0.2">
      <c r="A6" s="5" t="s">
        <v>6</v>
      </c>
    </row>
    <row r="7" spans="1:6" x14ac:dyDescent="0.2">
      <c r="A7" t="s">
        <v>7</v>
      </c>
      <c r="C7">
        <v>52500.261299999998</v>
      </c>
      <c r="D7" s="30" t="s">
        <v>46</v>
      </c>
    </row>
    <row r="8" spans="1:6" x14ac:dyDescent="0.2">
      <c r="A8" t="s">
        <v>8</v>
      </c>
      <c r="C8">
        <v>0.37711014999999998</v>
      </c>
      <c r="D8" s="30" t="s">
        <v>46</v>
      </c>
    </row>
    <row r="9" spans="1:6" x14ac:dyDescent="0.2">
      <c r="A9" s="27" t="s">
        <v>40</v>
      </c>
      <c r="B9" s="28">
        <v>22</v>
      </c>
      <c r="C9" s="25" t="str">
        <f>"F"&amp;B9</f>
        <v>F22</v>
      </c>
      <c r="D9" s="26" t="str">
        <f>"G"&amp;B9</f>
        <v>G22</v>
      </c>
    </row>
    <row r="10" spans="1:6" ht="13.5" thickBot="1" x14ac:dyDescent="0.25">
      <c r="A10" s="12"/>
      <c r="B10" s="12"/>
      <c r="C10" s="4" t="s">
        <v>25</v>
      </c>
      <c r="D10" s="4" t="s">
        <v>26</v>
      </c>
      <c r="E10" s="12"/>
    </row>
    <row r="11" spans="1:6" x14ac:dyDescent="0.2">
      <c r="A11" s="12" t="s">
        <v>20</v>
      </c>
      <c r="B11" s="12"/>
      <c r="C11" s="24">
        <f ca="1">INTERCEPT(INDIRECT($D$9):G992,INDIRECT($C$9):F992)</f>
        <v>4.7447814344815514E-3</v>
      </c>
      <c r="D11" s="3"/>
      <c r="E11" s="12"/>
    </row>
    <row r="12" spans="1:6" x14ac:dyDescent="0.2">
      <c r="A12" s="12" t="s">
        <v>21</v>
      </c>
      <c r="B12" s="12"/>
      <c r="C12" s="24">
        <f ca="1">SLOPE(INDIRECT($D$9):G992,INDIRECT($C$9):F992)</f>
        <v>-2.3665694187208968E-6</v>
      </c>
      <c r="D12" s="3"/>
      <c r="E12" s="12"/>
    </row>
    <row r="13" spans="1:6" x14ac:dyDescent="0.2">
      <c r="A13" s="12" t="s">
        <v>24</v>
      </c>
      <c r="B13" s="12"/>
      <c r="C13" s="3" t="s">
        <v>18</v>
      </c>
    </row>
    <row r="14" spans="1:6" x14ac:dyDescent="0.2">
      <c r="A14" s="12"/>
      <c r="B14" s="12"/>
      <c r="C14" s="12"/>
    </row>
    <row r="15" spans="1:6" x14ac:dyDescent="0.2">
      <c r="A15" s="14" t="s">
        <v>22</v>
      </c>
      <c r="B15" s="12"/>
      <c r="C15" s="15">
        <f ca="1">(C7+C11)+(C8+C12)*INT(MAX(F21:F3533))</f>
        <v>60169.129928625734</v>
      </c>
      <c r="E15" s="16" t="s">
        <v>41</v>
      </c>
      <c r="F15" s="13">
        <v>1</v>
      </c>
    </row>
    <row r="16" spans="1:6" x14ac:dyDescent="0.2">
      <c r="A16" s="18" t="s">
        <v>9</v>
      </c>
      <c r="B16" s="12"/>
      <c r="C16" s="19">
        <f ca="1">+C8+C12</f>
        <v>0.37710778343058127</v>
      </c>
      <c r="E16" s="16" t="s">
        <v>37</v>
      </c>
      <c r="F16" s="17">
        <f ca="1">NOW()+15018.5+$C$5/24</f>
        <v>60179.867905787032</v>
      </c>
    </row>
    <row r="17" spans="1:21" ht="13.5" thickBot="1" x14ac:dyDescent="0.25">
      <c r="A17" s="16" t="s">
        <v>34</v>
      </c>
      <c r="B17" s="12"/>
      <c r="C17" s="12">
        <f>COUNT(C21:C2191)</f>
        <v>12</v>
      </c>
      <c r="E17" s="16" t="s">
        <v>42</v>
      </c>
      <c r="F17" s="17">
        <f ca="1">ROUND(2*(F16-$C$7)/$C$8,0)/2+F15</f>
        <v>20365.5</v>
      </c>
    </row>
    <row r="18" spans="1:21" ht="14.25" thickTop="1" thickBot="1" x14ac:dyDescent="0.25">
      <c r="A18" s="18" t="s">
        <v>10</v>
      </c>
      <c r="B18" s="12"/>
      <c r="C18" s="21">
        <f ca="1">+C15</f>
        <v>60169.129928625734</v>
      </c>
      <c r="D18" s="22">
        <f ca="1">+C16</f>
        <v>0.37710778343058127</v>
      </c>
      <c r="E18" s="16" t="s">
        <v>43</v>
      </c>
      <c r="F18" s="26">
        <f ca="1">ROUND(2*(F16-$C$15)/$C$16,0)/2+F15</f>
        <v>29.5</v>
      </c>
    </row>
    <row r="19" spans="1:21" ht="13.5" thickTop="1" x14ac:dyDescent="0.2">
      <c r="E19" s="16" t="s">
        <v>38</v>
      </c>
      <c r="F19" s="20">
        <f ca="1">+$C$15+$C$16*F18-15018.5-$C$5/24</f>
        <v>45162.150441570273</v>
      </c>
    </row>
    <row r="20" spans="1:21" ht="13.5" thickBot="1" x14ac:dyDescent="0.25">
      <c r="A20" s="4" t="s">
        <v>11</v>
      </c>
      <c r="B20" s="4" t="s">
        <v>12</v>
      </c>
      <c r="C20" s="4" t="s">
        <v>13</v>
      </c>
      <c r="D20" s="4" t="s">
        <v>17</v>
      </c>
      <c r="E20" s="4" t="s">
        <v>14</v>
      </c>
      <c r="F20" s="4" t="s">
        <v>15</v>
      </c>
      <c r="G20" s="4" t="s">
        <v>16</v>
      </c>
      <c r="H20" s="7" t="s">
        <v>4</v>
      </c>
      <c r="I20" s="7" t="s">
        <v>55</v>
      </c>
      <c r="J20" s="7" t="s">
        <v>2</v>
      </c>
      <c r="K20" s="7" t="s">
        <v>3</v>
      </c>
      <c r="L20" s="7" t="s">
        <v>31</v>
      </c>
      <c r="M20" s="7" t="s">
        <v>32</v>
      </c>
      <c r="N20" s="7" t="s">
        <v>33</v>
      </c>
      <c r="O20" s="7" t="s">
        <v>28</v>
      </c>
      <c r="P20" s="6" t="s">
        <v>27</v>
      </c>
      <c r="Q20" s="4" t="s">
        <v>19</v>
      </c>
    </row>
    <row r="21" spans="1:21" x14ac:dyDescent="0.2">
      <c r="A21" t="s">
        <v>47</v>
      </c>
      <c r="C21" s="10">
        <v>52500.261299999998</v>
      </c>
      <c r="D21" s="10" t="s">
        <v>18</v>
      </c>
      <c r="E21">
        <f t="shared" ref="E21:E26" si="0">+(C21-C$7)/C$8</f>
        <v>0</v>
      </c>
      <c r="F21">
        <f>ROUND(2*E21,0)/2</f>
        <v>0</v>
      </c>
      <c r="G21">
        <f t="shared" ref="G21:G26" si="1">+C21-(C$7+F21*C$8)</f>
        <v>0</v>
      </c>
      <c r="K21">
        <f t="shared" ref="K21:K31" si="2">+G21</f>
        <v>0</v>
      </c>
      <c r="O21">
        <f t="shared" ref="O21:O26" ca="1" si="3">+C$11+C$12*$F21</f>
        <v>4.7447814344815514E-3</v>
      </c>
      <c r="Q21" s="2">
        <f t="shared" ref="Q21:Q26" si="4">+C21-15018.5</f>
        <v>37481.761299999998</v>
      </c>
    </row>
    <row r="22" spans="1:21" x14ac:dyDescent="0.2">
      <c r="A22" t="s">
        <v>49</v>
      </c>
      <c r="B22" s="3" t="s">
        <v>51</v>
      </c>
      <c r="C22" s="10">
        <v>53187.166899999997</v>
      </c>
      <c r="D22" s="10"/>
      <c r="E22" s="31">
        <f t="shared" si="0"/>
        <v>1821.4985727644782</v>
      </c>
      <c r="F22">
        <f t="shared" ref="F22:F31" si="5">ROUND(2*E22,0)/2</f>
        <v>1821.5</v>
      </c>
      <c r="G22" s="31">
        <f t="shared" si="1"/>
        <v>-5.3822500194655731E-4</v>
      </c>
      <c r="K22">
        <f t="shared" si="2"/>
        <v>-5.3822500194655731E-4</v>
      </c>
      <c r="O22">
        <f t="shared" ca="1" si="3"/>
        <v>4.340752382814379E-4</v>
      </c>
      <c r="Q22" s="2">
        <f t="shared" si="4"/>
        <v>38168.666899999997</v>
      </c>
      <c r="U22" t="s">
        <v>50</v>
      </c>
    </row>
    <row r="23" spans="1:21" x14ac:dyDescent="0.2">
      <c r="A23" t="s">
        <v>49</v>
      </c>
      <c r="B23" s="3" t="s">
        <v>51</v>
      </c>
      <c r="C23" s="10">
        <v>53188.298900000002</v>
      </c>
      <c r="D23" s="10"/>
      <c r="E23" s="31">
        <f t="shared" si="0"/>
        <v>1824.5003482404368</v>
      </c>
      <c r="F23">
        <f t="shared" si="5"/>
        <v>1824.5</v>
      </c>
      <c r="G23" s="31">
        <f t="shared" si="1"/>
        <v>1.3132500316714868E-4</v>
      </c>
      <c r="K23">
        <f t="shared" si="2"/>
        <v>1.3132500316714868E-4</v>
      </c>
      <c r="O23">
        <f t="shared" ca="1" si="3"/>
        <v>4.2697553002527498E-4</v>
      </c>
      <c r="Q23" s="2">
        <f t="shared" si="4"/>
        <v>38169.798900000002</v>
      </c>
      <c r="U23" t="s">
        <v>50</v>
      </c>
    </row>
    <row r="24" spans="1:21" x14ac:dyDescent="0.2">
      <c r="A24" t="s">
        <v>49</v>
      </c>
      <c r="B24" s="3" t="s">
        <v>52</v>
      </c>
      <c r="C24" s="10">
        <v>53189.242100000003</v>
      </c>
      <c r="D24" s="10"/>
      <c r="E24" s="31">
        <f t="shared" si="0"/>
        <v>1827.0014742377125</v>
      </c>
      <c r="F24">
        <f t="shared" si="5"/>
        <v>1827</v>
      </c>
      <c r="G24" s="31">
        <f t="shared" si="1"/>
        <v>5.5595000594621524E-4</v>
      </c>
      <c r="K24">
        <f t="shared" si="2"/>
        <v>5.5595000594621524E-4</v>
      </c>
      <c r="O24">
        <f t="shared" ca="1" si="3"/>
        <v>4.2105910647847328E-4</v>
      </c>
      <c r="Q24" s="2">
        <f t="shared" si="4"/>
        <v>38170.742100000003</v>
      </c>
      <c r="U24" t="s">
        <v>50</v>
      </c>
    </row>
    <row r="25" spans="1:21" x14ac:dyDescent="0.2">
      <c r="A25" s="32" t="s">
        <v>54</v>
      </c>
      <c r="B25" s="33" t="s">
        <v>52</v>
      </c>
      <c r="C25" s="34">
        <v>55383.629000000001</v>
      </c>
      <c r="D25" s="34">
        <v>8.9999999999999993E-3</v>
      </c>
      <c r="E25" s="35">
        <f t="shared" si="0"/>
        <v>7645.9562279084839</v>
      </c>
      <c r="F25">
        <f t="shared" si="5"/>
        <v>7646</v>
      </c>
      <c r="G25" s="31">
        <f t="shared" si="1"/>
        <v>-1.6506899999512825E-2</v>
      </c>
      <c r="K25">
        <f t="shared" si="2"/>
        <v>-1.6506899999512825E-2</v>
      </c>
      <c r="O25">
        <f t="shared" ca="1" si="3"/>
        <v>-1.3350008341058425E-2</v>
      </c>
      <c r="Q25" s="2">
        <f t="shared" si="4"/>
        <v>40365.129000000001</v>
      </c>
    </row>
    <row r="26" spans="1:21" x14ac:dyDescent="0.2">
      <c r="A26" s="32" t="s">
        <v>54</v>
      </c>
      <c r="B26" s="33" t="s">
        <v>52</v>
      </c>
      <c r="C26" s="34">
        <v>55383.637000000002</v>
      </c>
      <c r="D26" s="34">
        <v>8.9999999999999993E-3</v>
      </c>
      <c r="E26" s="35">
        <f t="shared" si="0"/>
        <v>7645.9774418694496</v>
      </c>
      <c r="F26">
        <f t="shared" si="5"/>
        <v>7646</v>
      </c>
      <c r="G26" s="31">
        <f t="shared" si="1"/>
        <v>-8.5068999978830107E-3</v>
      </c>
      <c r="K26">
        <f t="shared" si="2"/>
        <v>-8.5068999978830107E-3</v>
      </c>
      <c r="O26">
        <f t="shared" ca="1" si="3"/>
        <v>-1.3350008341058425E-2</v>
      </c>
      <c r="Q26" s="2">
        <f t="shared" si="4"/>
        <v>40365.137000000002</v>
      </c>
    </row>
    <row r="27" spans="1:21" x14ac:dyDescent="0.2">
      <c r="A27" s="36" t="s">
        <v>0</v>
      </c>
      <c r="B27" s="37" t="s">
        <v>51</v>
      </c>
      <c r="C27" s="36">
        <v>57982.093400000129</v>
      </c>
      <c r="D27" s="36">
        <v>1.8E-3</v>
      </c>
      <c r="E27" s="35">
        <f>+(C27-C$7)/C$8</f>
        <v>14536.42152034394</v>
      </c>
      <c r="F27">
        <f t="shared" si="5"/>
        <v>14536.5</v>
      </c>
      <c r="G27" s="31">
        <f>+C27-(C$7+F27*C$8)</f>
        <v>-2.9595474872621708E-2</v>
      </c>
      <c r="K27">
        <f t="shared" si="2"/>
        <v>-2.9595474872621708E-2</v>
      </c>
      <c r="O27">
        <f ca="1">+C$11+C$12*$F27</f>
        <v>-2.9656854920754767E-2</v>
      </c>
      <c r="Q27" s="2">
        <f>+C27-15018.5</f>
        <v>42963.593400000129</v>
      </c>
    </row>
    <row r="28" spans="1:21" x14ac:dyDescent="0.2">
      <c r="A28" s="36" t="s">
        <v>0</v>
      </c>
      <c r="B28" s="37" t="s">
        <v>52</v>
      </c>
      <c r="C28" s="36">
        <v>57983.035500000231</v>
      </c>
      <c r="D28" s="36">
        <v>1.8E-3</v>
      </c>
      <c r="E28" s="35">
        <f>+(C28-C$7)/C$8</f>
        <v>14538.919729421848</v>
      </c>
      <c r="F28">
        <f t="shared" si="5"/>
        <v>14539</v>
      </c>
      <c r="G28" s="31">
        <f>+C28-(C$7+F28*C$8)</f>
        <v>-3.0270849769294728E-2</v>
      </c>
      <c r="K28">
        <f t="shared" si="2"/>
        <v>-3.0270849769294728E-2</v>
      </c>
      <c r="O28">
        <f ca="1">+C$11+C$12*$F28</f>
        <v>-2.9662771344301564E-2</v>
      </c>
      <c r="Q28" s="2">
        <f>+C28-15018.5</f>
        <v>42964.535500000231</v>
      </c>
    </row>
    <row r="29" spans="1:21" x14ac:dyDescent="0.2">
      <c r="A29" s="36" t="s">
        <v>0</v>
      </c>
      <c r="B29" s="37" t="s">
        <v>51</v>
      </c>
      <c r="C29" s="36">
        <v>57983.224100000225</v>
      </c>
      <c r="D29" s="36">
        <v>1.9E-3</v>
      </c>
      <c r="E29" s="35">
        <f>+(C29-C$7)/C$8</f>
        <v>14539.419848551483</v>
      </c>
      <c r="F29">
        <f t="shared" si="5"/>
        <v>14539.5</v>
      </c>
      <c r="G29" s="31">
        <f>+C29-(C$7+F29*C$8)</f>
        <v>-3.0225924769183621E-2</v>
      </c>
      <c r="K29">
        <f t="shared" si="2"/>
        <v>-3.0225924769183621E-2</v>
      </c>
      <c r="O29">
        <f ca="1">+C$11+C$12*$F29</f>
        <v>-2.9663954629010926E-2</v>
      </c>
      <c r="Q29" s="2">
        <f>+C29-15018.5</f>
        <v>42964.724100000225</v>
      </c>
    </row>
    <row r="30" spans="1:21" x14ac:dyDescent="0.2">
      <c r="A30" s="36" t="s">
        <v>1</v>
      </c>
      <c r="B30" s="37" t="s">
        <v>51</v>
      </c>
      <c r="C30" s="36">
        <v>58424.065970000003</v>
      </c>
      <c r="D30" s="36">
        <v>4.6000000000000001E-4</v>
      </c>
      <c r="E30" s="35">
        <f>+(C30-C$7)/C$8</f>
        <v>15708.420126056022</v>
      </c>
      <c r="F30">
        <f t="shared" si="5"/>
        <v>15708.5</v>
      </c>
      <c r="G30" s="31">
        <f>+C30-(C$7+F30*C$8)</f>
        <v>-3.0121274998236913E-2</v>
      </c>
      <c r="K30">
        <f t="shared" si="2"/>
        <v>-3.0121274998236913E-2</v>
      </c>
      <c r="O30">
        <f ca="1">+C$11+C$12*$F30</f>
        <v>-3.2430474279495657E-2</v>
      </c>
      <c r="Q30" s="2">
        <f>+C30-15018.5</f>
        <v>43405.565970000003</v>
      </c>
    </row>
    <row r="31" spans="1:21" x14ac:dyDescent="0.2">
      <c r="A31" s="36" t="s">
        <v>1</v>
      </c>
      <c r="B31" s="37" t="s">
        <v>52</v>
      </c>
      <c r="C31" s="36">
        <v>58434.055999999997</v>
      </c>
      <c r="D31" s="36">
        <v>1.9E-3</v>
      </c>
      <c r="E31" s="35">
        <f>+(C31-C$7)/C$8</f>
        <v>15734.911139358086</v>
      </c>
      <c r="F31">
        <f t="shared" si="5"/>
        <v>15735</v>
      </c>
      <c r="G31" s="31">
        <f>+C31-(C$7+F31*C$8)</f>
        <v>-3.3510250003018882E-2</v>
      </c>
      <c r="K31">
        <f t="shared" si="2"/>
        <v>-3.3510250003018882E-2</v>
      </c>
      <c r="O31">
        <f ca="1">+C$11+C$12*$F31</f>
        <v>-3.2493188369091756E-2</v>
      </c>
      <c r="Q31" s="2">
        <f>+C31-15018.5</f>
        <v>43415.555999999997</v>
      </c>
    </row>
    <row r="32" spans="1:21" x14ac:dyDescent="0.2">
      <c r="A32" s="42" t="s">
        <v>56</v>
      </c>
      <c r="B32" s="43" t="s">
        <v>52</v>
      </c>
      <c r="C32" s="42">
        <v>60169.129191999789</v>
      </c>
      <c r="D32" s="44">
        <v>2.333E-3</v>
      </c>
      <c r="E32" s="35">
        <f>+(C32-C$7)/C$8</f>
        <v>20335.88300924754</v>
      </c>
      <c r="F32">
        <f t="shared" ref="F32" si="6">ROUND(2*E32,0)/2</f>
        <v>20336</v>
      </c>
      <c r="G32" s="31">
        <f>+C32-(C$7+F32*C$8)</f>
        <v>-4.4118400212028064E-2</v>
      </c>
      <c r="K32">
        <f t="shared" ref="K32" si="7">+G32</f>
        <v>-4.4118400212028064E-2</v>
      </c>
      <c r="O32">
        <f ca="1">+C$11+C$12*$F32</f>
        <v>-4.3381774264626603E-2</v>
      </c>
      <c r="Q32" s="2">
        <f>+C32-15018.5</f>
        <v>45150.629191999789</v>
      </c>
    </row>
    <row r="33" spans="1:17" x14ac:dyDescent="0.2">
      <c r="A33" s="38"/>
      <c r="B33" s="39"/>
      <c r="C33" s="40"/>
      <c r="D33" s="41"/>
      <c r="Q33" s="2"/>
    </row>
    <row r="34" spans="1:17" x14ac:dyDescent="0.2">
      <c r="C34" s="10"/>
      <c r="D34" s="10"/>
    </row>
    <row r="35" spans="1:17" x14ac:dyDescent="0.2">
      <c r="C35" s="10"/>
      <c r="D35" s="10"/>
    </row>
    <row r="36" spans="1:17" x14ac:dyDescent="0.2">
      <c r="C36" s="10"/>
      <c r="D36" s="10"/>
    </row>
    <row r="37" spans="1:17" x14ac:dyDescent="0.2">
      <c r="C37" s="10"/>
      <c r="D37" s="10"/>
    </row>
    <row r="38" spans="1:17" x14ac:dyDescent="0.2">
      <c r="C38" s="10"/>
      <c r="D38" s="10"/>
    </row>
    <row r="39" spans="1:17" x14ac:dyDescent="0.2">
      <c r="C39" s="10"/>
      <c r="D39" s="10"/>
    </row>
    <row r="40" spans="1:17" x14ac:dyDescent="0.2">
      <c r="C40" s="10"/>
      <c r="D40" s="10"/>
    </row>
    <row r="41" spans="1:17" x14ac:dyDescent="0.2">
      <c r="C41" s="10"/>
      <c r="D41" s="10"/>
    </row>
    <row r="42" spans="1:17" x14ac:dyDescent="0.2">
      <c r="C42" s="10"/>
      <c r="D42" s="10"/>
    </row>
    <row r="43" spans="1:17" x14ac:dyDescent="0.2">
      <c r="C43" s="10"/>
      <c r="D43" s="10"/>
    </row>
    <row r="44" spans="1:17" x14ac:dyDescent="0.2">
      <c r="C44" s="10"/>
      <c r="D44" s="10"/>
    </row>
    <row r="45" spans="1:17" x14ac:dyDescent="0.2">
      <c r="C45" s="10"/>
      <c r="D45" s="10"/>
    </row>
    <row r="46" spans="1:17" x14ac:dyDescent="0.2">
      <c r="C46" s="10"/>
      <c r="D46" s="10"/>
    </row>
    <row r="47" spans="1:17" x14ac:dyDescent="0.2">
      <c r="C47" s="10"/>
      <c r="D47" s="10"/>
    </row>
    <row r="48" spans="1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7" type="noConversion"/>
  <hyperlinks>
    <hyperlink ref="H62569" r:id="rId1" display="http://vsolj.cetus-net.org/bulletin.html"/>
    <hyperlink ref="H62562" r:id="rId2" display="https://www.aavso.org/ejaavso"/>
    <hyperlink ref="I62569" r:id="rId3" display="http://vsolj.cetus-net.org/bulletin.html"/>
    <hyperlink ref="AQ56216" r:id="rId4" display="http://cdsbib.u-strasbg.fr/cgi-bin/cdsbib?1990RMxAA..21..381G"/>
    <hyperlink ref="H62566" r:id="rId5" display="https://www.aavso.org/ejaavso"/>
    <hyperlink ref="AP3580" r:id="rId6" display="http://cdsbib.u-strasbg.fr/cgi-bin/cdsbib?1990RMxAA..21..381G"/>
    <hyperlink ref="AP3583" r:id="rId7" display="http://cdsbib.u-strasbg.fr/cgi-bin/cdsbib?1990RMxAA..21..381G"/>
    <hyperlink ref="AP3581" r:id="rId8" display="http://cdsbib.u-strasbg.fr/cgi-bin/cdsbib?1990RMxAA..21..381G"/>
    <hyperlink ref="AP3565" r:id="rId9" display="http://cdsbib.u-strasbg.fr/cgi-bin/cdsbib?1990RMxAA..21..381G"/>
    <hyperlink ref="AQ3794" r:id="rId10" display="http://cdsbib.u-strasbg.fr/cgi-bin/cdsbib?1990RMxAA..21..381G"/>
    <hyperlink ref="AQ3798" r:id="rId11" display="http://cdsbib.u-strasbg.fr/cgi-bin/cdsbib?1990RMxAA..21..381G"/>
    <hyperlink ref="AQ63482" r:id="rId12" display="http://cdsbib.u-strasbg.fr/cgi-bin/cdsbib?1990RMxAA..21..381G"/>
    <hyperlink ref="I686" r:id="rId13" display="http://vsolj.cetus-net.org/bulletin.html"/>
    <hyperlink ref="H686" r:id="rId14" display="http://vsolj.cetus-net.org/bulletin.html"/>
    <hyperlink ref="AQ64143" r:id="rId15" display="http://cdsbib.u-strasbg.fr/cgi-bin/cdsbib?1990RMxAA..21..381G"/>
    <hyperlink ref="AQ64142" r:id="rId16" display="http://cdsbib.u-strasbg.fr/cgi-bin/cdsbib?1990RMxAA..21..381G"/>
    <hyperlink ref="AP1856" r:id="rId17" display="http://cdsbib.u-strasbg.fr/cgi-bin/cdsbib?1990RMxAA..21..381G"/>
    <hyperlink ref="AP1874" r:id="rId18" display="http://cdsbib.u-strasbg.fr/cgi-bin/cdsbib?1990RMxAA..21..381G"/>
    <hyperlink ref="AP1875" r:id="rId19" display="http://cdsbib.u-strasbg.fr/cgi-bin/cdsbib?1990RMxAA..21..381G"/>
    <hyperlink ref="AP1871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workbookViewId="0"/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44</v>
      </c>
    </row>
    <row r="2" spans="1:7" x14ac:dyDescent="0.2">
      <c r="A2" t="s">
        <v>29</v>
      </c>
      <c r="B2" t="s">
        <v>48</v>
      </c>
      <c r="D2" s="3"/>
      <c r="E2" s="29"/>
    </row>
    <row r="3" spans="1:7" ht="13.5" thickBot="1" x14ac:dyDescent="0.25"/>
    <row r="4" spans="1:7" ht="14.25" thickTop="1" thickBot="1" x14ac:dyDescent="0.25">
      <c r="A4" s="5" t="s">
        <v>5</v>
      </c>
      <c r="C4" s="8" t="s">
        <v>45</v>
      </c>
      <c r="D4" s="9" t="s">
        <v>45</v>
      </c>
    </row>
    <row r="6" spans="1:7" x14ac:dyDescent="0.2">
      <c r="A6" s="5" t="s">
        <v>6</v>
      </c>
    </row>
    <row r="7" spans="1:7" x14ac:dyDescent="0.2">
      <c r="A7" t="s">
        <v>7</v>
      </c>
      <c r="C7">
        <v>52500.261299999998</v>
      </c>
      <c r="D7" s="30" t="s">
        <v>46</v>
      </c>
    </row>
    <row r="8" spans="1:7" x14ac:dyDescent="0.2">
      <c r="A8" t="s">
        <v>8</v>
      </c>
      <c r="C8">
        <v>0.37711014999999998</v>
      </c>
      <c r="D8" s="30" t="s">
        <v>46</v>
      </c>
    </row>
    <row r="9" spans="1:7" x14ac:dyDescent="0.2">
      <c r="A9" s="11" t="s">
        <v>35</v>
      </c>
      <c r="B9" s="12"/>
      <c r="C9" s="13">
        <v>8</v>
      </c>
      <c r="D9" s="12" t="s">
        <v>36</v>
      </c>
      <c r="E9" s="12"/>
    </row>
    <row r="10" spans="1:7" ht="13.5" thickBot="1" x14ac:dyDescent="0.25">
      <c r="A10" s="12"/>
      <c r="B10" s="12"/>
      <c r="C10" s="4" t="s">
        <v>25</v>
      </c>
      <c r="D10" s="4" t="s">
        <v>26</v>
      </c>
      <c r="E10" s="12"/>
    </row>
    <row r="11" spans="1:7" x14ac:dyDescent="0.2">
      <c r="A11" s="12" t="s">
        <v>20</v>
      </c>
      <c r="B11" s="12"/>
      <c r="C11" s="24">
        <f ca="1">INTERCEPT(INDIRECT($G$11):G992,INDIRECT($F$11):F992)</f>
        <v>-1.6603107473760201E-6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 x14ac:dyDescent="0.2">
      <c r="A12" s="12" t="s">
        <v>21</v>
      </c>
      <c r="B12" s="12"/>
      <c r="C12" s="24">
        <f ca="1">SLOPE(INDIRECT($G$11):G992,INDIRECT($F$11):F992)</f>
        <v>2.8447149672265792E-8</v>
      </c>
      <c r="D12" s="3"/>
      <c r="E12" s="12"/>
    </row>
    <row r="13" spans="1:7" x14ac:dyDescent="0.2">
      <c r="A13" s="12" t="s">
        <v>24</v>
      </c>
      <c r="B13" s="12"/>
      <c r="C13" s="3" t="s">
        <v>18</v>
      </c>
      <c r="D13" s="16" t="s">
        <v>41</v>
      </c>
      <c r="E13" s="13">
        <v>1</v>
      </c>
    </row>
    <row r="14" spans="1:7" x14ac:dyDescent="0.2">
      <c r="A14" s="12"/>
      <c r="B14" s="12"/>
      <c r="C14" s="12"/>
      <c r="D14" s="16" t="s">
        <v>37</v>
      </c>
      <c r="E14" s="17">
        <f ca="1">NOW()+15018.5+$C$9/24</f>
        <v>60180.597072453704</v>
      </c>
    </row>
    <row r="15" spans="1:7" x14ac:dyDescent="0.2">
      <c r="A15" s="14" t="s">
        <v>22</v>
      </c>
      <c r="B15" s="12"/>
      <c r="C15" s="15">
        <f ca="1">(C7+C11)+(C8+C12)*INT(MAX(F21:F3533))</f>
        <v>53189.241594362633</v>
      </c>
      <c r="D15" s="16" t="s">
        <v>42</v>
      </c>
      <c r="E15" s="17">
        <f ca="1">ROUND(2*(E14-$C$7)/$C$8,0)/2+E13</f>
        <v>20367.5</v>
      </c>
    </row>
    <row r="16" spans="1:7" x14ac:dyDescent="0.2">
      <c r="A16" s="18" t="s">
        <v>9</v>
      </c>
      <c r="B16" s="12"/>
      <c r="C16" s="19">
        <f ca="1">+C8+C12</f>
        <v>0.37711017844714967</v>
      </c>
      <c r="D16" s="16" t="s">
        <v>43</v>
      </c>
      <c r="E16" s="26">
        <f ca="1">ROUND(2*(E14-$C$15)/$C$16,0)/2+E13</f>
        <v>18540.5</v>
      </c>
    </row>
    <row r="17" spans="1:18" ht="13.5" thickBot="1" x14ac:dyDescent="0.25">
      <c r="A17" s="16" t="s">
        <v>34</v>
      </c>
      <c r="B17" s="12"/>
      <c r="C17" s="12">
        <f>COUNT(C21:C2191)</f>
        <v>4</v>
      </c>
      <c r="D17" s="16" t="s">
        <v>38</v>
      </c>
      <c r="E17" s="20">
        <f ca="1">+$C$15+$C$16*E16-15018.5-$C$9/24</f>
        <v>45162.219524528678</v>
      </c>
    </row>
    <row r="18" spans="1:18" ht="14.25" thickTop="1" thickBot="1" x14ac:dyDescent="0.25">
      <c r="A18" s="18" t="s">
        <v>10</v>
      </c>
      <c r="B18" s="12"/>
      <c r="C18" s="21">
        <f ca="1">+C15</f>
        <v>53189.241594362633</v>
      </c>
      <c r="D18" s="22">
        <f ca="1">+C16</f>
        <v>0.37711017844714967</v>
      </c>
      <c r="E18" s="23" t="s">
        <v>39</v>
      </c>
    </row>
    <row r="19" spans="1:18" ht="13.5" thickTop="1" x14ac:dyDescent="0.2">
      <c r="A19" s="27" t="s">
        <v>40</v>
      </c>
      <c r="E19" s="28">
        <v>21</v>
      </c>
    </row>
    <row r="20" spans="1:18" ht="13.5" thickBot="1" x14ac:dyDescent="0.25">
      <c r="A20" s="4" t="s">
        <v>11</v>
      </c>
      <c r="B20" s="4" t="s">
        <v>12</v>
      </c>
      <c r="C20" s="4" t="s">
        <v>13</v>
      </c>
      <c r="D20" s="4" t="s">
        <v>17</v>
      </c>
      <c r="E20" s="4" t="s">
        <v>14</v>
      </c>
      <c r="F20" s="4" t="s">
        <v>15</v>
      </c>
      <c r="G20" s="4" t="s">
        <v>16</v>
      </c>
      <c r="H20" s="7" t="s">
        <v>47</v>
      </c>
      <c r="I20" s="7" t="s">
        <v>53</v>
      </c>
      <c r="J20" s="7" t="s">
        <v>23</v>
      </c>
      <c r="K20" s="7" t="s">
        <v>30</v>
      </c>
      <c r="L20" s="7" t="s">
        <v>31</v>
      </c>
      <c r="M20" s="7" t="s">
        <v>32</v>
      </c>
      <c r="N20" s="7" t="s">
        <v>33</v>
      </c>
      <c r="O20" s="7" t="s">
        <v>28</v>
      </c>
      <c r="P20" s="6" t="s">
        <v>27</v>
      </c>
      <c r="Q20" s="4" t="s">
        <v>19</v>
      </c>
    </row>
    <row r="21" spans="1:18" x14ac:dyDescent="0.2">
      <c r="A21" t="s">
        <v>47</v>
      </c>
      <c r="C21" s="10">
        <v>52500.261299999998</v>
      </c>
      <c r="D21" s="10" t="s">
        <v>18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-1.6603107473760201E-6</v>
      </c>
      <c r="Q21" s="2">
        <f>+C21-15018.5</f>
        <v>37481.761299999998</v>
      </c>
    </row>
    <row r="22" spans="1:18" x14ac:dyDescent="0.2">
      <c r="A22" t="s">
        <v>49</v>
      </c>
      <c r="B22" s="3" t="s">
        <v>51</v>
      </c>
      <c r="C22" s="10">
        <v>53187.166899999997</v>
      </c>
      <c r="D22" s="10"/>
      <c r="E22">
        <f>+(C22-C$7)/C$8</f>
        <v>1821.4985727644782</v>
      </c>
      <c r="F22">
        <f>ROUND(2*E22,0)/2</f>
        <v>1821.5</v>
      </c>
      <c r="G22">
        <f>+C22-(C$7+F22*C$8)</f>
        <v>-5.3822500194655731E-4</v>
      </c>
      <c r="I22">
        <f>+G22</f>
        <v>-5.3822500194655731E-4</v>
      </c>
      <c r="O22">
        <f ca="1">+C$11+C$12*$F22</f>
        <v>5.0156172380656121E-5</v>
      </c>
      <c r="Q22" s="2">
        <f>+C22-15018.5</f>
        <v>38168.666899999997</v>
      </c>
      <c r="R22" t="s">
        <v>50</v>
      </c>
    </row>
    <row r="23" spans="1:18" x14ac:dyDescent="0.2">
      <c r="A23" t="s">
        <v>49</v>
      </c>
      <c r="B23" s="3" t="s">
        <v>51</v>
      </c>
      <c r="C23" s="10">
        <v>53188.298900000002</v>
      </c>
      <c r="D23" s="10"/>
      <c r="E23">
        <f>+(C23-C$7)/C$8</f>
        <v>1824.5003482404368</v>
      </c>
      <c r="F23">
        <f>ROUND(2*E23,0)/2</f>
        <v>1824.5</v>
      </c>
      <c r="G23">
        <f>+C23-(C$7+F23*C$8)</f>
        <v>1.3132500316714868E-4</v>
      </c>
      <c r="I23">
        <f>+G23</f>
        <v>1.3132500316714868E-4</v>
      </c>
      <c r="O23">
        <f ca="1">+C$11+C$12*$F23</f>
        <v>5.0241513829672918E-5</v>
      </c>
      <c r="Q23" s="2">
        <f>+C23-15018.5</f>
        <v>38169.798900000002</v>
      </c>
      <c r="R23" t="s">
        <v>50</v>
      </c>
    </row>
    <row r="24" spans="1:18" x14ac:dyDescent="0.2">
      <c r="A24" t="s">
        <v>49</v>
      </c>
      <c r="B24" s="3" t="s">
        <v>52</v>
      </c>
      <c r="C24" s="10">
        <v>53189.242100000003</v>
      </c>
      <c r="D24" s="10"/>
      <c r="E24">
        <f>+(C24-C$7)/C$8</f>
        <v>1827.0014742377125</v>
      </c>
      <c r="F24">
        <f>ROUND(2*E24,0)/2</f>
        <v>1827</v>
      </c>
      <c r="G24">
        <f>+C24-(C$7+F24*C$8)</f>
        <v>5.5595000594621524E-4</v>
      </c>
      <c r="I24">
        <f>+G24</f>
        <v>5.5595000594621524E-4</v>
      </c>
      <c r="O24">
        <f ca="1">+C$11+C$12*$F24</f>
        <v>5.0312631703853583E-5</v>
      </c>
      <c r="Q24" s="2">
        <f>+C24-15018.5</f>
        <v>38170.742100000003</v>
      </c>
      <c r="R24" t="s">
        <v>50</v>
      </c>
    </row>
    <row r="25" spans="1:18" x14ac:dyDescent="0.2">
      <c r="C25" s="10"/>
      <c r="D25" s="10"/>
      <c r="Q25" s="2"/>
    </row>
    <row r="26" spans="1:18" x14ac:dyDescent="0.2">
      <c r="C26" s="10"/>
      <c r="D26" s="10"/>
      <c r="Q26" s="2"/>
    </row>
    <row r="27" spans="1:18" x14ac:dyDescent="0.2">
      <c r="C27" s="10"/>
      <c r="D27" s="10"/>
      <c r="Q27" s="2"/>
    </row>
    <row r="28" spans="1:18" x14ac:dyDescent="0.2">
      <c r="C28" s="10"/>
      <c r="D28" s="10"/>
      <c r="Q28" s="2"/>
    </row>
    <row r="29" spans="1:18" x14ac:dyDescent="0.2">
      <c r="C29" s="10"/>
      <c r="D29" s="10"/>
      <c r="Q29" s="2"/>
    </row>
    <row r="30" spans="1:18" x14ac:dyDescent="0.2">
      <c r="C30" s="10"/>
      <c r="D30" s="10"/>
      <c r="Q30" s="2"/>
    </row>
    <row r="31" spans="1:18" x14ac:dyDescent="0.2">
      <c r="C31" s="10"/>
      <c r="D31" s="10"/>
      <c r="Q31" s="2"/>
    </row>
    <row r="32" spans="1:18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sheetProtection sheet="1"/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Inactive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2023-08-23T08:49:47Z</dcterms:modified>
</cp:coreProperties>
</file>