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ED8A8E1-983B-4F53-9CF4-E141B9036A62}" xr6:coauthVersionLast="47" xr6:coauthVersionMax="47" xr10:uidLastSave="{00000000-0000-0000-0000-000000000000}"/>
  <bookViews>
    <workbookView xWindow="390" yWindow="390" windowWidth="10680" windowHeight="14595" xr2:uid="{00000000-000D-0000-FFFF-FFFF00000000}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E24" i="1"/>
  <c r="F24" i="1"/>
  <c r="G24" i="1" s="1"/>
  <c r="I24" i="1" s="1"/>
  <c r="Q24" i="1"/>
  <c r="E25" i="1"/>
  <c r="F25" i="1"/>
  <c r="G25" i="1" s="1"/>
  <c r="I25" i="1" s="1"/>
  <c r="Q25" i="1"/>
  <c r="C21" i="1"/>
  <c r="R22" i="1" s="1"/>
  <c r="E21" i="1"/>
  <c r="F21" i="1" s="1"/>
  <c r="G21" i="1" s="1"/>
  <c r="H21" i="1" s="1"/>
  <c r="A21" i="1"/>
  <c r="G11" i="1"/>
  <c r="F11" i="1"/>
  <c r="C7" i="1"/>
  <c r="C8" i="1"/>
  <c r="E15" i="1"/>
  <c r="C17" i="1"/>
  <c r="Q21" i="1"/>
  <c r="C11" i="1"/>
  <c r="C12" i="1" l="1"/>
  <c r="O23" i="1" l="1"/>
  <c r="C15" i="1"/>
  <c r="O24" i="1"/>
  <c r="O22" i="1"/>
  <c r="O25" i="1"/>
  <c r="C16" i="1"/>
  <c r="D18" i="1" s="1"/>
  <c r="O21" i="1"/>
  <c r="E16" i="1" l="1"/>
  <c r="E17" i="1" s="1"/>
  <c r="C18" i="1"/>
</calcChain>
</file>

<file path=xl/sharedStrings.xml><?xml version="1.0" encoding="utf-8"?>
<sst xmlns="http://schemas.openxmlformats.org/spreadsheetml/2006/main" count="63" uniqueCount="47">
  <si>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</si>
  <si>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</si>
  <si>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</si>
  <si>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</si>
  <si>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</si>
  <si>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</si>
  <si>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</si>
  <si>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</si>
  <si>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</si>
  <si>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</si>
  <si>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</si>
  <si>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</si>
  <si>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</si>
  <si>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</si>
  <si>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</si>
  <si>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</si>
  <si>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</si>
  <si>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</si>
  <si>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</si>
  <si>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</si>
  <si>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</si>
  <si>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</si>
  <si>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</si>
  <si>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</si>
  <si>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</si>
  <si>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</si>
  <si>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</si>
  <si>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</si>
  <si>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</si>
  <si>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</si>
  <si>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</si>
  <si>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</si>
  <si>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</si>
  <si>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</si>
  <si>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</si>
  <si>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</si>
  <si>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</si>
  <si>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GSC 9118 0898_Tuc.xls</t>
  </si>
  <si>
    <t>EB</t>
  </si>
  <si>
    <t>IBVS 5495 Eph.</t>
  </si>
  <si>
    <t>IBVS 5495</t>
  </si>
  <si>
    <t>Tuc</t>
  </si>
  <si>
    <t>EK Tuc / GSC 9118 0898 / NSV 14254</t>
  </si>
  <si>
    <t>JRBA</t>
  </si>
  <si>
    <t>I</t>
  </si>
  <si>
    <t>VSS SEB Gp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</si>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</sst>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C99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3" borderId="6" applyNumberFormat="0" applyAlignment="0" applyProtection="0"/>
    <xf numFmtId="0" fontId="15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0" fillId="0" borderId="7" xfId="0" applyBorder="1" applyAlignment="1"/>
    <xf numFmtId="0" fontId="0" fillId="0" borderId="0" xfId="0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18" fillId="0" borderId="0" xfId="0" applyFont="1" applyFill="1" applyBorder="1" applyAlignment="1"/>
    <xf numFmtId="165" fontId="19" fillId="0" borderId="0" xfId="0" applyNumberFormat="1" applyFont="1" applyFill="1" applyBorder="1" applyAlignment="1" applyProtection="1">
      <alignment vertical="center" wrapText="1"/>
      <protection locked="0"/>
    </xf>
    <xf numFmtId="165" fontId="17" fillId="0" borderId="0" xfId="7" applyNumberFormat="1" applyFont="1" applyFill="1" applyBorder="1" applyProtection="1"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Input" xfId="7" builtinId="20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EK Tuc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55-4B26-97EE-10F8DB0CF9AF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1">
                  <c:v>-0.1018725500034634</c:v>
                </c:pt>
                <c:pt idx="2">
                  <c:v>-0.1046071699965978</c:v>
                </c:pt>
                <c:pt idx="3">
                  <c:v>-9.5845570001984015E-2</c:v>
                </c:pt>
                <c:pt idx="4">
                  <c:v>-0.10822000000189291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55-4B26-97EE-10F8DB0CF9AF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55-4B26-97EE-10F8DB0CF9AF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55-4B26-97EE-10F8DB0CF9AF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55-4B26-97EE-10F8DB0CF9AF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55-4B26-97EE-10F8DB0CF9AF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55-4B26-97EE-10F8DB0CF9AF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-1.1551461260196488E-3</c:v>
                </c:pt>
                <c:pt idx="1">
                  <c:v>-9.6859433620080843E-2</c:v>
                </c:pt>
                <c:pt idx="2">
                  <c:v>-9.7475744579104226E-2</c:v>
                </c:pt>
                <c:pt idx="3">
                  <c:v>-0.10733671992347851</c:v>
                </c:pt>
                <c:pt idx="4">
                  <c:v>-0.1077182457552549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55-4B26-97EE-10F8DB0CF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556056"/>
        <c:axId val="1"/>
      </c:scatterChart>
      <c:valAx>
        <c:axId val="575556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5556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5B176F2-7493-A39C-5329-62DC9171C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C18" sqref="C18:D1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6.14062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9" max="19" width="14.5703125" customWidth="1"/>
  </cols>
  <sheetData>
    <row r="1" spans="1:19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52875.786</v>
      </c>
      <c r="J1" s="33">
        <v>1.2350099999999999</v>
      </c>
      <c r="K1" s="32" t="s">
        <v>40</v>
      </c>
      <c r="L1" s="30" t="s">
        <v>41</v>
      </c>
      <c r="S1" s="34" t="s">
        <v>45</v>
      </c>
    </row>
    <row r="2" spans="1:19" x14ac:dyDescent="0.2">
      <c r="A2" t="s">
        <v>23</v>
      </c>
      <c r="B2" t="s">
        <v>38</v>
      </c>
      <c r="C2" s="9" t="s">
        <v>41</v>
      </c>
      <c r="D2" t="s">
        <v>37</v>
      </c>
      <c r="S2" s="34" t="s">
        <v>43</v>
      </c>
    </row>
    <row r="3" spans="1:19" ht="13.5" thickBot="1" x14ac:dyDescent="0.25">
      <c r="S3" s="34"/>
    </row>
    <row r="4" spans="1:19" ht="14.25" thickTop="1" thickBot="1" x14ac:dyDescent="0.25">
      <c r="A4" s="29" t="s">
        <v>39</v>
      </c>
      <c r="C4" s="7">
        <v>52875.786</v>
      </c>
      <c r="D4" s="8">
        <v>1.2350099999999999</v>
      </c>
      <c r="S4" s="34"/>
    </row>
    <row r="5" spans="1:19" x14ac:dyDescent="0.2">
      <c r="S5" s="34"/>
    </row>
    <row r="6" spans="1:19" x14ac:dyDescent="0.2">
      <c r="A6" s="4" t="s">
        <v>0</v>
      </c>
    </row>
    <row r="7" spans="1:19" x14ac:dyDescent="0.2">
      <c r="A7" t="s">
        <v>1</v>
      </c>
      <c r="C7">
        <f>+C4</f>
        <v>52875.786</v>
      </c>
    </row>
    <row r="8" spans="1:19" x14ac:dyDescent="0.2">
      <c r="A8" t="s">
        <v>2</v>
      </c>
      <c r="C8">
        <f>+D4</f>
        <v>1.2350099999999999</v>
      </c>
    </row>
    <row r="9" spans="1:19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9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9" x14ac:dyDescent="0.2">
      <c r="A11" s="11" t="s">
        <v>14</v>
      </c>
      <c r="B11" s="11"/>
      <c r="C11" s="24">
        <f ca="1">INTERCEPT(INDIRECT($G$11):G992,INDIRECT($F$11):F992)</f>
        <v>-1.1551461260196488E-3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9" x14ac:dyDescent="0.2">
      <c r="A12" s="11" t="s">
        <v>15</v>
      </c>
      <c r="B12" s="11"/>
      <c r="C12" s="24">
        <f ca="1">SLOPE(INDIRECT($G$11):G992,INDIRECT($F$11):F992)</f>
        <v>-2.9348140905875862E-5</v>
      </c>
      <c r="D12" s="13"/>
      <c r="E12" s="11"/>
    </row>
    <row r="13" spans="1:19" x14ac:dyDescent="0.2">
      <c r="A13" s="11" t="s">
        <v>18</v>
      </c>
      <c r="B13" s="11"/>
      <c r="C13" s="13" t="s">
        <v>12</v>
      </c>
      <c r="D13" s="13"/>
      <c r="E13" s="11"/>
    </row>
    <row r="14" spans="1:19" x14ac:dyDescent="0.2">
      <c r="A14" s="11"/>
      <c r="B14" s="11"/>
      <c r="C14" s="11"/>
      <c r="D14" s="11"/>
      <c r="E14" s="11"/>
    </row>
    <row r="15" spans="1:19" x14ac:dyDescent="0.2">
      <c r="A15" s="14" t="s">
        <v>16</v>
      </c>
      <c r="B15" s="11"/>
      <c r="C15" s="15">
        <f ca="1">(C7+C11)+(C8+C12)*INT(MAX(F21:F3533))</f>
        <v>57359.99959175424</v>
      </c>
      <c r="D15" s="16" t="s">
        <v>32</v>
      </c>
      <c r="E15" s="17">
        <f ca="1">TODAY()+15018.5-B9/24</f>
        <v>60173.5</v>
      </c>
    </row>
    <row r="16" spans="1:19" x14ac:dyDescent="0.2">
      <c r="A16" s="18" t="s">
        <v>3</v>
      </c>
      <c r="B16" s="11"/>
      <c r="C16" s="19">
        <f ca="1">+C8+C12</f>
        <v>1.234980651859094</v>
      </c>
      <c r="D16" s="16" t="s">
        <v>33</v>
      </c>
      <c r="E16" s="17">
        <f ca="1">ROUND(2*(E15-C15)/C16,0)/2+1</f>
        <v>2279</v>
      </c>
    </row>
    <row r="17" spans="1:18" ht="13.5" thickBot="1" x14ac:dyDescent="0.25">
      <c r="A17" s="16" t="s">
        <v>29</v>
      </c>
      <c r="B17" s="11"/>
      <c r="C17" s="11">
        <f>COUNT(C21:C2191)</f>
        <v>5</v>
      </c>
      <c r="D17" s="16" t="s">
        <v>34</v>
      </c>
      <c r="E17" s="20">
        <f ca="1">+C15+C16*E16-15018.5-C9/24</f>
        <v>45156.416330674452</v>
      </c>
    </row>
    <row r="18" spans="1:18" ht="14.25" thickTop="1" thickBot="1" x14ac:dyDescent="0.25">
      <c r="A18" s="18" t="s">
        <v>4</v>
      </c>
      <c r="B18" s="11"/>
      <c r="C18" s="21">
        <f ca="1">+C15</f>
        <v>57359.99959175424</v>
      </c>
      <c r="D18" s="22">
        <f ca="1">+C16</f>
        <v>1.234980651859094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5" t="s">
        <v>5</v>
      </c>
      <c r="B20" s="35" t="s">
        <v>6</v>
      </c>
      <c r="C20" s="35" t="s">
        <v>7</v>
      </c>
      <c r="D20" s="35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46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s="36" t="str">
        <f>$K$1</f>
        <v>IBVS 5495</v>
      </c>
      <c r="B21" s="36"/>
      <c r="C21" s="37">
        <f>+$C$4</f>
        <v>52875.786</v>
      </c>
      <c r="D21" s="37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-1.1551461260196488E-3</v>
      </c>
      <c r="Q21" s="2">
        <f>+C21-15018.5</f>
        <v>37857.286</v>
      </c>
    </row>
    <row r="22" spans="1:18" x14ac:dyDescent="0.2">
      <c r="A22" s="38" t="s">
        <v>43</v>
      </c>
      <c r="B22" s="38" t="s">
        <v>44</v>
      </c>
      <c r="C22" s="39">
        <v>56903.051737449998</v>
      </c>
      <c r="D22" s="37" t="s">
        <v>12</v>
      </c>
      <c r="E22">
        <f t="shared" ref="E22:E25" si="0">+(C22-C$7)/C$8</f>
        <v>3260.9175127731742</v>
      </c>
      <c r="F22">
        <f t="shared" ref="F22:F25" si="1">ROUND(2*E22,0)/2</f>
        <v>3261</v>
      </c>
      <c r="G22">
        <f t="shared" ref="G22:G25" si="2">+C22-(C$7+F22*C$8)</f>
        <v>-0.1018725500034634</v>
      </c>
      <c r="I22">
        <f>+G22</f>
        <v>-0.1018725500034634</v>
      </c>
      <c r="O22">
        <f t="shared" ref="O22:O25" ca="1" si="3">+C$11+C$12*$F22</f>
        <v>-9.6859433620080843E-2</v>
      </c>
      <c r="Q22" s="2">
        <f t="shared" ref="Q22:Q25" si="4">+C22-15018.5</f>
        <v>41884.551737449998</v>
      </c>
      <c r="R22" t="str">
        <f>IF(ABS(C22-C21)&lt;0.00001,1,"")</f>
        <v/>
      </c>
    </row>
    <row r="23" spans="1:18" x14ac:dyDescent="0.2">
      <c r="A23" s="38" t="s">
        <v>43</v>
      </c>
      <c r="B23" s="38" t="s">
        <v>44</v>
      </c>
      <c r="C23" s="39">
        <v>56928.984212830001</v>
      </c>
      <c r="D23" s="37" t="s">
        <v>12</v>
      </c>
      <c r="E23">
        <f t="shared" si="0"/>
        <v>3281.9152985238993</v>
      </c>
      <c r="F23">
        <f t="shared" si="1"/>
        <v>3282</v>
      </c>
      <c r="G23">
        <f t="shared" si="2"/>
        <v>-0.1046071699965978</v>
      </c>
      <c r="I23">
        <f>+G23</f>
        <v>-0.1046071699965978</v>
      </c>
      <c r="O23">
        <f t="shared" ca="1" si="3"/>
        <v>-9.7475744579104226E-2</v>
      </c>
      <c r="Q23" s="2">
        <f t="shared" si="4"/>
        <v>41910.484212830001</v>
      </c>
    </row>
    <row r="24" spans="1:18" x14ac:dyDescent="0.2">
      <c r="A24" s="38" t="s">
        <v>43</v>
      </c>
      <c r="B24" s="38" t="s">
        <v>44</v>
      </c>
      <c r="C24" s="39">
        <v>57343.956334429997</v>
      </c>
      <c r="D24" s="37" t="s">
        <v>12</v>
      </c>
      <c r="E24">
        <f t="shared" si="0"/>
        <v>3617.9223928794072</v>
      </c>
      <c r="F24">
        <f t="shared" si="1"/>
        <v>3618</v>
      </c>
      <c r="G24">
        <f t="shared" si="2"/>
        <v>-9.5845570001984015E-2</v>
      </c>
      <c r="I24">
        <f>+G24</f>
        <v>-9.5845570001984015E-2</v>
      </c>
      <c r="O24">
        <f t="shared" ca="1" si="3"/>
        <v>-0.10733671992347851</v>
      </c>
      <c r="Q24" s="2">
        <f t="shared" si="4"/>
        <v>42325.456334429997</v>
      </c>
    </row>
    <row r="25" spans="1:18" ht="15" x14ac:dyDescent="0.25">
      <c r="A25" s="38" t="s">
        <v>43</v>
      </c>
      <c r="B25" s="38" t="s">
        <v>44</v>
      </c>
      <c r="C25" s="40">
        <v>57359.999089999998</v>
      </c>
      <c r="D25" s="37" t="s">
        <v>12</v>
      </c>
      <c r="E25">
        <f t="shared" si="0"/>
        <v>3630.9123731791628</v>
      </c>
      <c r="F25">
        <f t="shared" si="1"/>
        <v>3631</v>
      </c>
      <c r="G25">
        <f t="shared" si="2"/>
        <v>-0.10822000000189291</v>
      </c>
      <c r="I25">
        <f>+G25</f>
        <v>-0.10822000000189291</v>
      </c>
      <c r="O25">
        <f t="shared" ca="1" si="3"/>
        <v>-0.1077182457552549</v>
      </c>
      <c r="Q25" s="2">
        <f t="shared" si="4"/>
        <v>42341.499089999998</v>
      </c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2023-08-17T06:01:31Z</dcterms:modified>
</cp:coreProperties>
</file>