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3BEAC13-D8AC-46C4-9C34-F1035A482BB5}" xr6:coauthVersionLast="47" xr6:coauthVersionMax="47" xr10:uidLastSave="{00000000-0000-0000-0000-000000000000}"/>
  <bookViews>
    <workbookView xWindow="14100" yWindow="765" windowWidth="13590" windowHeight="14595"/>
  </bookViews>
  <sheets>
    <sheet name="Active" sheetId="4" r:id="rId1"/>
    <sheet name="A (old)" sheetId="1" r:id="rId2"/>
    <sheet name="B" sheetId="2" r:id="rId3"/>
    <sheet name="BAV" sheetId="3" r:id="rId4"/>
  </sheets>
  <calcPr calcId="181029"/>
</workbook>
</file>

<file path=xl/calcChain.xml><?xml version="1.0" encoding="utf-8"?>
<calcChain xmlns="http://schemas.openxmlformats.org/spreadsheetml/2006/main">
  <c r="E69" i="4" l="1"/>
  <c r="F69" i="4" s="1"/>
  <c r="Q69" i="4"/>
  <c r="C9" i="4"/>
  <c r="D9" i="4"/>
  <c r="F16" i="4"/>
  <c r="F17" i="4" s="1"/>
  <c r="E21" i="4"/>
  <c r="F21" i="4"/>
  <c r="G21" i="4"/>
  <c r="I21" i="4"/>
  <c r="Q21" i="4"/>
  <c r="E22" i="4"/>
  <c r="F22" i="4"/>
  <c r="G22" i="4"/>
  <c r="I22" i="4"/>
  <c r="Q22" i="4"/>
  <c r="E23" i="4"/>
  <c r="F23" i="4"/>
  <c r="G23" i="4"/>
  <c r="H23" i="4"/>
  <c r="Q23" i="4"/>
  <c r="E24" i="4"/>
  <c r="F24" i="4"/>
  <c r="G24" i="4"/>
  <c r="I24" i="4"/>
  <c r="Q24" i="4"/>
  <c r="E25" i="4"/>
  <c r="F25" i="4"/>
  <c r="G25" i="4"/>
  <c r="I25" i="4"/>
  <c r="Q25" i="4"/>
  <c r="E26" i="4"/>
  <c r="F26" i="4"/>
  <c r="G26" i="4"/>
  <c r="I26" i="4"/>
  <c r="Q26" i="4"/>
  <c r="E27" i="4"/>
  <c r="F27" i="4"/>
  <c r="G27" i="4"/>
  <c r="I27" i="4"/>
  <c r="Q27" i="4"/>
  <c r="E28" i="4"/>
  <c r="F28" i="4"/>
  <c r="G28" i="4"/>
  <c r="I28" i="4"/>
  <c r="Q28" i="4"/>
  <c r="E29" i="4"/>
  <c r="F29" i="4"/>
  <c r="G29" i="4"/>
  <c r="I29" i="4"/>
  <c r="Q29" i="4"/>
  <c r="E30" i="4"/>
  <c r="F30" i="4"/>
  <c r="G30" i="4"/>
  <c r="I30" i="4"/>
  <c r="Q30" i="4"/>
  <c r="E31" i="4"/>
  <c r="F31" i="4"/>
  <c r="G31" i="4"/>
  <c r="I31" i="4"/>
  <c r="Q31" i="4"/>
  <c r="E32" i="4"/>
  <c r="F32" i="4"/>
  <c r="G32" i="4"/>
  <c r="I32" i="4"/>
  <c r="Q32" i="4"/>
  <c r="E33" i="4"/>
  <c r="F33" i="4"/>
  <c r="G33" i="4"/>
  <c r="I33" i="4"/>
  <c r="Q33" i="4"/>
  <c r="E34" i="4"/>
  <c r="F34" i="4"/>
  <c r="G34" i="4"/>
  <c r="I34" i="4"/>
  <c r="Q34" i="4"/>
  <c r="E35" i="4"/>
  <c r="F35" i="4"/>
  <c r="G35" i="4"/>
  <c r="I35" i="4"/>
  <c r="Q35" i="4"/>
  <c r="E36" i="4"/>
  <c r="F36" i="4"/>
  <c r="G36" i="4"/>
  <c r="I36" i="4"/>
  <c r="Q36" i="4"/>
  <c r="E37" i="4"/>
  <c r="F37" i="4"/>
  <c r="G37" i="4"/>
  <c r="I37" i="4"/>
  <c r="Q37" i="4"/>
  <c r="E38" i="4"/>
  <c r="F38" i="4"/>
  <c r="P38" i="4"/>
  <c r="G38" i="4"/>
  <c r="I38" i="4"/>
  <c r="Q38" i="4"/>
  <c r="E39" i="4"/>
  <c r="F39" i="4"/>
  <c r="G39" i="4"/>
  <c r="I39" i="4"/>
  <c r="P39" i="4"/>
  <c r="Q39" i="4"/>
  <c r="E40" i="4"/>
  <c r="F40" i="4"/>
  <c r="Q40" i="4"/>
  <c r="E41" i="4"/>
  <c r="F41" i="4"/>
  <c r="G41" i="4"/>
  <c r="I41" i="4"/>
  <c r="P41" i="4"/>
  <c r="Q41" i="4"/>
  <c r="E42" i="4"/>
  <c r="F42" i="4"/>
  <c r="Q42" i="4"/>
  <c r="C43" i="4"/>
  <c r="C44" i="4"/>
  <c r="C45" i="4"/>
  <c r="E46" i="4"/>
  <c r="F46" i="4"/>
  <c r="Q46" i="4"/>
  <c r="E47" i="4"/>
  <c r="F47" i="4"/>
  <c r="P47" i="4"/>
  <c r="Q47" i="4"/>
  <c r="E48" i="4"/>
  <c r="F48" i="4"/>
  <c r="P48" i="4"/>
  <c r="G48" i="4"/>
  <c r="K48" i="4"/>
  <c r="Q48" i="4"/>
  <c r="E49" i="4"/>
  <c r="F49" i="4"/>
  <c r="P49" i="4"/>
  <c r="G49" i="4"/>
  <c r="K49" i="4"/>
  <c r="Q49" i="4"/>
  <c r="E50" i="4"/>
  <c r="F50" i="4"/>
  <c r="G50" i="4"/>
  <c r="K50" i="4"/>
  <c r="P50" i="4"/>
  <c r="Q50" i="4"/>
  <c r="E51" i="4"/>
  <c r="F51" i="4"/>
  <c r="Q51" i="4"/>
  <c r="E52" i="4"/>
  <c r="F52" i="4"/>
  <c r="G52" i="4"/>
  <c r="K52" i="4"/>
  <c r="P52" i="4"/>
  <c r="Q52" i="4"/>
  <c r="E53" i="4"/>
  <c r="F53" i="4"/>
  <c r="Q53" i="4"/>
  <c r="E54" i="4"/>
  <c r="F54" i="4"/>
  <c r="Q54" i="4"/>
  <c r="E55" i="4"/>
  <c r="F55" i="4"/>
  <c r="P55" i="4"/>
  <c r="Q55" i="4"/>
  <c r="E56" i="4"/>
  <c r="F56" i="4"/>
  <c r="P56" i="4"/>
  <c r="G56" i="4"/>
  <c r="J56" i="4"/>
  <c r="Q56" i="4"/>
  <c r="E57" i="4"/>
  <c r="F57" i="4"/>
  <c r="P57" i="4"/>
  <c r="G57" i="4"/>
  <c r="J57" i="4"/>
  <c r="Q57" i="4"/>
  <c r="E58" i="4"/>
  <c r="F58" i="4"/>
  <c r="G58" i="4"/>
  <c r="K58" i="4"/>
  <c r="P58" i="4"/>
  <c r="Q58" i="4"/>
  <c r="E59" i="4"/>
  <c r="F59" i="4"/>
  <c r="Q59" i="4"/>
  <c r="E60" i="4"/>
  <c r="F60" i="4"/>
  <c r="G60" i="4"/>
  <c r="J60" i="4"/>
  <c r="P60" i="4"/>
  <c r="Q60" i="4"/>
  <c r="E61" i="4"/>
  <c r="F61" i="4"/>
  <c r="Q61" i="4"/>
  <c r="E62" i="4"/>
  <c r="F62" i="4"/>
  <c r="Q62" i="4"/>
  <c r="E63" i="4"/>
  <c r="F63" i="4"/>
  <c r="P63" i="4"/>
  <c r="Q63" i="4"/>
  <c r="E64" i="4"/>
  <c r="F64" i="4"/>
  <c r="P64" i="4"/>
  <c r="G64" i="4"/>
  <c r="K64" i="4"/>
  <c r="Q64" i="4"/>
  <c r="E65" i="4"/>
  <c r="F65" i="4"/>
  <c r="P65" i="4"/>
  <c r="G65" i="4"/>
  <c r="K65" i="4"/>
  <c r="Q65" i="4"/>
  <c r="E66" i="4"/>
  <c r="F66" i="4"/>
  <c r="G66" i="4"/>
  <c r="K66" i="4"/>
  <c r="P66" i="4"/>
  <c r="Q66" i="4"/>
  <c r="E67" i="4"/>
  <c r="F67" i="4"/>
  <c r="Q67" i="4"/>
  <c r="E68" i="4"/>
  <c r="F68" i="4"/>
  <c r="G68" i="4"/>
  <c r="K68" i="4"/>
  <c r="P68" i="4"/>
  <c r="Q68" i="4"/>
  <c r="C7" i="1"/>
  <c r="E23" i="1"/>
  <c r="F23" i="1"/>
  <c r="G23" i="1"/>
  <c r="I23" i="1"/>
  <c r="C8" i="1"/>
  <c r="C18" i="1"/>
  <c r="C21" i="1"/>
  <c r="E22" i="1"/>
  <c r="F22" i="1"/>
  <c r="G22" i="1"/>
  <c r="I22" i="1"/>
  <c r="Q22" i="1"/>
  <c r="Q23" i="1"/>
  <c r="E24" i="1"/>
  <c r="F24" i="1"/>
  <c r="G24" i="1"/>
  <c r="I24" i="1"/>
  <c r="Q24" i="1"/>
  <c r="E25" i="1"/>
  <c r="F25" i="1"/>
  <c r="G25" i="1"/>
  <c r="I25" i="1"/>
  <c r="Q25" i="1"/>
  <c r="E26" i="1"/>
  <c r="F26" i="1"/>
  <c r="G26" i="1"/>
  <c r="I26" i="1"/>
  <c r="Q26" i="1"/>
  <c r="E27" i="1"/>
  <c r="F27" i="1"/>
  <c r="G27" i="1"/>
  <c r="I27" i="1"/>
  <c r="Q27" i="1"/>
  <c r="E28" i="1"/>
  <c r="F28" i="1"/>
  <c r="G28" i="1"/>
  <c r="I28" i="1"/>
  <c r="Q28" i="1"/>
  <c r="E29" i="1"/>
  <c r="F29" i="1"/>
  <c r="G29" i="1"/>
  <c r="I29" i="1"/>
  <c r="Q29" i="1"/>
  <c r="E30" i="1"/>
  <c r="F30" i="1"/>
  <c r="Q30" i="1"/>
  <c r="E31" i="1"/>
  <c r="F31" i="1"/>
  <c r="Q31" i="1"/>
  <c r="E32" i="1"/>
  <c r="F32" i="1"/>
  <c r="Q32" i="1"/>
  <c r="E33" i="1"/>
  <c r="F33" i="1"/>
  <c r="Q33" i="1"/>
  <c r="E34" i="1"/>
  <c r="F34" i="1"/>
  <c r="Q34" i="1"/>
  <c r="E35" i="1"/>
  <c r="F35" i="1"/>
  <c r="Q35" i="1"/>
  <c r="E36" i="1"/>
  <c r="F36" i="1"/>
  <c r="Q36" i="1"/>
  <c r="E37" i="1"/>
  <c r="F37" i="1"/>
  <c r="Q37" i="1"/>
  <c r="E38" i="1"/>
  <c r="F38" i="1"/>
  <c r="Q38" i="1"/>
  <c r="E39" i="1"/>
  <c r="F39" i="1"/>
  <c r="Q39" i="1"/>
  <c r="E40" i="1"/>
  <c r="F40" i="1"/>
  <c r="Q40" i="1"/>
  <c r="E41" i="1"/>
  <c r="F41" i="1"/>
  <c r="G41" i="1"/>
  <c r="I41" i="1"/>
  <c r="Q41" i="1"/>
  <c r="E42" i="1"/>
  <c r="F42" i="1"/>
  <c r="G42" i="1"/>
  <c r="I42" i="1"/>
  <c r="Q42" i="1"/>
  <c r="E43" i="1"/>
  <c r="F43" i="1"/>
  <c r="G43" i="1"/>
  <c r="J43" i="1"/>
  <c r="Q43" i="1"/>
  <c r="E44" i="1"/>
  <c r="F44" i="1"/>
  <c r="G44" i="1"/>
  <c r="J44" i="1"/>
  <c r="Q44" i="1"/>
  <c r="E45" i="1"/>
  <c r="F45" i="1"/>
  <c r="G45" i="1"/>
  <c r="J45" i="1"/>
  <c r="Q45" i="1"/>
  <c r="C7" i="2"/>
  <c r="G21" i="2"/>
  <c r="I21" i="2"/>
  <c r="C8" i="2"/>
  <c r="C18" i="2"/>
  <c r="E21" i="2"/>
  <c r="F21" i="2"/>
  <c r="Q21" i="2"/>
  <c r="E22" i="2"/>
  <c r="F22" i="2"/>
  <c r="G22" i="2"/>
  <c r="I22" i="2"/>
  <c r="Q22" i="2"/>
  <c r="E23" i="2"/>
  <c r="F23" i="2"/>
  <c r="G23" i="2"/>
  <c r="H23" i="2"/>
  <c r="Q23" i="2"/>
  <c r="Q24" i="2"/>
  <c r="E25" i="2"/>
  <c r="F25" i="2"/>
  <c r="Q25" i="2"/>
  <c r="E26" i="2"/>
  <c r="F26" i="2"/>
  <c r="G26" i="2"/>
  <c r="I26" i="2"/>
  <c r="Q26" i="2"/>
  <c r="E27" i="2"/>
  <c r="F27" i="2"/>
  <c r="G27" i="2"/>
  <c r="I27" i="2"/>
  <c r="Q27" i="2"/>
  <c r="Q28" i="2"/>
  <c r="E29" i="2"/>
  <c r="F29" i="2"/>
  <c r="Q29" i="2"/>
  <c r="E30" i="2"/>
  <c r="F30" i="2"/>
  <c r="G30" i="2"/>
  <c r="I30" i="2"/>
  <c r="Q30" i="2"/>
  <c r="E31" i="2"/>
  <c r="F31" i="2"/>
  <c r="G31" i="2"/>
  <c r="I31" i="2"/>
  <c r="Q31" i="2"/>
  <c r="Q32" i="2"/>
  <c r="E33" i="2"/>
  <c r="F33" i="2"/>
  <c r="Q33" i="2"/>
  <c r="E34" i="2"/>
  <c r="F34" i="2"/>
  <c r="G34" i="2"/>
  <c r="I34" i="2"/>
  <c r="Q34" i="2"/>
  <c r="E35" i="2"/>
  <c r="F35" i="2"/>
  <c r="G35" i="2"/>
  <c r="I35" i="2"/>
  <c r="Q35" i="2"/>
  <c r="Q36" i="2"/>
  <c r="E37" i="2"/>
  <c r="F37" i="2"/>
  <c r="Q37" i="2"/>
  <c r="E38" i="2"/>
  <c r="F38" i="2"/>
  <c r="G38" i="2"/>
  <c r="I38" i="2"/>
  <c r="Q38" i="2"/>
  <c r="E39" i="2"/>
  <c r="F39" i="2"/>
  <c r="G39" i="2"/>
  <c r="I39" i="2"/>
  <c r="Q39" i="2"/>
  <c r="Q40" i="2"/>
  <c r="E41" i="2"/>
  <c r="F41" i="2"/>
  <c r="Q41" i="2"/>
  <c r="E42" i="2"/>
  <c r="F42" i="2"/>
  <c r="G42" i="2"/>
  <c r="I42" i="2"/>
  <c r="Q42" i="2"/>
  <c r="E43" i="2"/>
  <c r="F43" i="2"/>
  <c r="G43" i="2"/>
  <c r="J43" i="2"/>
  <c r="Q43" i="2"/>
  <c r="E44" i="2"/>
  <c r="F44" i="2"/>
  <c r="G44" i="2"/>
  <c r="J44" i="2"/>
  <c r="Q44" i="2"/>
  <c r="E45" i="2"/>
  <c r="F45" i="2"/>
  <c r="G45" i="2"/>
  <c r="J45" i="2"/>
  <c r="Q45" i="2"/>
  <c r="A11" i="3"/>
  <c r="C11" i="3"/>
  <c r="E11" i="3"/>
  <c r="D11" i="3"/>
  <c r="G11" i="3"/>
  <c r="H11" i="3"/>
  <c r="B11" i="3"/>
  <c r="A12" i="3"/>
  <c r="C12" i="3"/>
  <c r="E12" i="3"/>
  <c r="D12" i="3"/>
  <c r="G12" i="3"/>
  <c r="H12" i="3"/>
  <c r="B12" i="3"/>
  <c r="A13" i="3"/>
  <c r="B13" i="3"/>
  <c r="D13" i="3"/>
  <c r="G13" i="3"/>
  <c r="C13" i="3"/>
  <c r="E13" i="3"/>
  <c r="H13" i="3"/>
  <c r="A14" i="3"/>
  <c r="B14" i="3"/>
  <c r="D14" i="3"/>
  <c r="G14" i="3"/>
  <c r="C14" i="3"/>
  <c r="E14" i="3"/>
  <c r="H14" i="3"/>
  <c r="A15" i="3"/>
  <c r="D15" i="3"/>
  <c r="G15" i="3"/>
  <c r="C15" i="3"/>
  <c r="E15" i="3"/>
  <c r="H15" i="3"/>
  <c r="B15" i="3"/>
  <c r="A16" i="3"/>
  <c r="C16" i="3"/>
  <c r="E16" i="3"/>
  <c r="D16" i="3"/>
  <c r="G16" i="3"/>
  <c r="H16" i="3"/>
  <c r="B16" i="3"/>
  <c r="A17" i="3"/>
  <c r="B17" i="3"/>
  <c r="D17" i="3"/>
  <c r="G17" i="3"/>
  <c r="C17" i="3"/>
  <c r="E17" i="3"/>
  <c r="H17" i="3"/>
  <c r="A18" i="3"/>
  <c r="B18" i="3"/>
  <c r="D18" i="3"/>
  <c r="G18" i="3"/>
  <c r="C18" i="3"/>
  <c r="E18" i="3"/>
  <c r="H18" i="3"/>
  <c r="A19" i="3"/>
  <c r="B19" i="3"/>
  <c r="C19" i="3"/>
  <c r="E19" i="3"/>
  <c r="D19" i="3"/>
  <c r="G19" i="3"/>
  <c r="H19" i="3"/>
  <c r="A20" i="3"/>
  <c r="C20" i="3"/>
  <c r="E20" i="3"/>
  <c r="D20" i="3"/>
  <c r="G20" i="3"/>
  <c r="H20" i="3"/>
  <c r="B20" i="3"/>
  <c r="A21" i="3"/>
  <c r="B21" i="3"/>
  <c r="D21" i="3"/>
  <c r="G21" i="3"/>
  <c r="C21" i="3"/>
  <c r="E21" i="3"/>
  <c r="H21" i="3"/>
  <c r="A22" i="3"/>
  <c r="B22" i="3"/>
  <c r="D22" i="3"/>
  <c r="G22" i="3"/>
  <c r="C22" i="3"/>
  <c r="E22" i="3"/>
  <c r="H22" i="3"/>
  <c r="A23" i="3"/>
  <c r="D23" i="3"/>
  <c r="G23" i="3"/>
  <c r="C23" i="3"/>
  <c r="E23" i="3"/>
  <c r="H23" i="3"/>
  <c r="B23" i="3"/>
  <c r="A24" i="3"/>
  <c r="C24" i="3"/>
  <c r="E24" i="3"/>
  <c r="D24" i="3"/>
  <c r="G24" i="3"/>
  <c r="H24" i="3"/>
  <c r="B24" i="3"/>
  <c r="A25" i="3"/>
  <c r="B25" i="3"/>
  <c r="D25" i="3"/>
  <c r="G25" i="3"/>
  <c r="C25" i="3"/>
  <c r="E25" i="3"/>
  <c r="H25" i="3"/>
  <c r="A26" i="3"/>
  <c r="B26" i="3"/>
  <c r="D26" i="3"/>
  <c r="G26" i="3"/>
  <c r="C26" i="3"/>
  <c r="E26" i="3"/>
  <c r="H26" i="3"/>
  <c r="A27" i="3"/>
  <c r="B27" i="3"/>
  <c r="C27" i="3"/>
  <c r="E27" i="3"/>
  <c r="D27" i="3"/>
  <c r="G27" i="3"/>
  <c r="H27" i="3"/>
  <c r="A28" i="3"/>
  <c r="C28" i="3"/>
  <c r="E28" i="3"/>
  <c r="D28" i="3"/>
  <c r="G28" i="3"/>
  <c r="H28" i="3"/>
  <c r="B28" i="3"/>
  <c r="A29" i="3"/>
  <c r="B29" i="3"/>
  <c r="D29" i="3"/>
  <c r="G29" i="3"/>
  <c r="C29" i="3"/>
  <c r="E29" i="3"/>
  <c r="H29" i="3"/>
  <c r="A30" i="3"/>
  <c r="B30" i="3"/>
  <c r="D30" i="3"/>
  <c r="G30" i="3"/>
  <c r="C30" i="3"/>
  <c r="E30" i="3"/>
  <c r="H30" i="3"/>
  <c r="A31" i="3"/>
  <c r="D31" i="3"/>
  <c r="G31" i="3"/>
  <c r="C31" i="3"/>
  <c r="E31" i="3"/>
  <c r="H31" i="3"/>
  <c r="B31" i="3"/>
  <c r="A32" i="3"/>
  <c r="C32" i="3"/>
  <c r="E32" i="3"/>
  <c r="D32" i="3"/>
  <c r="G32" i="3"/>
  <c r="H32" i="3"/>
  <c r="B32" i="3"/>
  <c r="A33" i="3"/>
  <c r="B33" i="3"/>
  <c r="D33" i="3"/>
  <c r="G33" i="3"/>
  <c r="C33" i="3"/>
  <c r="E33" i="3"/>
  <c r="H33" i="3"/>
  <c r="A34" i="3"/>
  <c r="B34" i="3"/>
  <c r="D34" i="3"/>
  <c r="G34" i="3"/>
  <c r="C34" i="3"/>
  <c r="E34" i="3"/>
  <c r="H34" i="3"/>
  <c r="A35" i="3"/>
  <c r="C35" i="3"/>
  <c r="E35" i="3"/>
  <c r="D35" i="3"/>
  <c r="G35" i="3"/>
  <c r="H35" i="3"/>
  <c r="B35" i="3"/>
  <c r="A36" i="3"/>
  <c r="C36" i="3"/>
  <c r="E36" i="3"/>
  <c r="D36" i="3"/>
  <c r="G36" i="3"/>
  <c r="H36" i="3"/>
  <c r="B36" i="3"/>
  <c r="A37" i="3"/>
  <c r="B37" i="3"/>
  <c r="D37" i="3"/>
  <c r="G37" i="3"/>
  <c r="C37" i="3"/>
  <c r="E37" i="3"/>
  <c r="H37" i="3"/>
  <c r="A38" i="3"/>
  <c r="B38" i="3"/>
  <c r="D38" i="3"/>
  <c r="G38" i="3"/>
  <c r="C38" i="3"/>
  <c r="E38" i="3"/>
  <c r="H38" i="3"/>
  <c r="A39" i="3"/>
  <c r="D39" i="3"/>
  <c r="G39" i="3"/>
  <c r="C39" i="3"/>
  <c r="E39" i="3"/>
  <c r="H39" i="3"/>
  <c r="B39" i="3"/>
  <c r="A40" i="3"/>
  <c r="C40" i="3"/>
  <c r="E40" i="3"/>
  <c r="D40" i="3"/>
  <c r="G40" i="3"/>
  <c r="H40" i="3"/>
  <c r="B40" i="3"/>
  <c r="A41" i="3"/>
  <c r="B41" i="3"/>
  <c r="D41" i="3"/>
  <c r="G41" i="3"/>
  <c r="C41" i="3"/>
  <c r="E41" i="3"/>
  <c r="H41" i="3"/>
  <c r="A42" i="3"/>
  <c r="B42" i="3"/>
  <c r="D42" i="3"/>
  <c r="G42" i="3"/>
  <c r="C42" i="3"/>
  <c r="E42" i="3"/>
  <c r="H42" i="3"/>
  <c r="A43" i="3"/>
  <c r="B43" i="3"/>
  <c r="C43" i="3"/>
  <c r="E43" i="3"/>
  <c r="D43" i="3"/>
  <c r="G43" i="3"/>
  <c r="H43" i="3"/>
  <c r="A44" i="3"/>
  <c r="C44" i="3"/>
  <c r="E44" i="3"/>
  <c r="D44" i="3"/>
  <c r="G44" i="3"/>
  <c r="H44" i="3"/>
  <c r="B44" i="3"/>
  <c r="A45" i="3"/>
  <c r="B45" i="3"/>
  <c r="D45" i="3"/>
  <c r="G45" i="3"/>
  <c r="C45" i="3"/>
  <c r="E45" i="3"/>
  <c r="H45" i="3"/>
  <c r="G59" i="4"/>
  <c r="P59" i="4"/>
  <c r="G45" i="4"/>
  <c r="H45" i="4"/>
  <c r="G61" i="4"/>
  <c r="K61" i="4"/>
  <c r="P61" i="4"/>
  <c r="G21" i="1"/>
  <c r="G40" i="4"/>
  <c r="I40" i="4"/>
  <c r="P40" i="4"/>
  <c r="G67" i="4"/>
  <c r="K67" i="4"/>
  <c r="P67" i="4"/>
  <c r="G54" i="4"/>
  <c r="K54" i="4"/>
  <c r="P54" i="4"/>
  <c r="G51" i="4"/>
  <c r="K51" i="4"/>
  <c r="P51" i="4"/>
  <c r="G42" i="4"/>
  <c r="I42" i="4"/>
  <c r="P42" i="4"/>
  <c r="G53" i="4"/>
  <c r="K53" i="4"/>
  <c r="P53" i="4"/>
  <c r="G62" i="4"/>
  <c r="K62" i="4"/>
  <c r="P62" i="4"/>
  <c r="G46" i="4"/>
  <c r="H46" i="4"/>
  <c r="P46" i="4"/>
  <c r="E21" i="1"/>
  <c r="F21" i="1"/>
  <c r="G63" i="4"/>
  <c r="K63" i="4"/>
  <c r="G55" i="4"/>
  <c r="K55" i="4"/>
  <c r="G47" i="4"/>
  <c r="H47" i="4"/>
  <c r="E45" i="4"/>
  <c r="F45" i="4"/>
  <c r="P45" i="4"/>
  <c r="E44" i="4"/>
  <c r="F44" i="4"/>
  <c r="P44" i="4"/>
  <c r="E43" i="4"/>
  <c r="F43" i="4"/>
  <c r="P43" i="4"/>
  <c r="C17" i="4"/>
  <c r="Q45" i="4"/>
  <c r="Q44" i="4"/>
  <c r="Q43" i="4"/>
  <c r="Q21" i="1"/>
  <c r="G41" i="2"/>
  <c r="I41" i="2"/>
  <c r="E40" i="2"/>
  <c r="F40" i="2"/>
  <c r="G40" i="2"/>
  <c r="G37" i="2"/>
  <c r="I37" i="2"/>
  <c r="E36" i="2"/>
  <c r="F36" i="2"/>
  <c r="G36" i="2"/>
  <c r="I36" i="2"/>
  <c r="G33" i="2"/>
  <c r="I33" i="2"/>
  <c r="E32" i="2"/>
  <c r="F32" i="2"/>
  <c r="G32" i="2"/>
  <c r="I32" i="2"/>
  <c r="G29" i="2"/>
  <c r="I29" i="2"/>
  <c r="E28" i="2"/>
  <c r="F28" i="2"/>
  <c r="G28" i="2"/>
  <c r="I28" i="2"/>
  <c r="G25" i="2"/>
  <c r="I25" i="2"/>
  <c r="E24" i="2"/>
  <c r="F24" i="2"/>
  <c r="G24" i="2"/>
  <c r="I24" i="2"/>
  <c r="J59" i="4"/>
  <c r="C11" i="2"/>
  <c r="C12" i="2"/>
  <c r="C16" i="2"/>
  <c r="D18" i="2"/>
  <c r="I40" i="2"/>
  <c r="G43" i="4"/>
  <c r="H43" i="4"/>
  <c r="C11" i="1"/>
  <c r="C12" i="1"/>
  <c r="C16" i="1"/>
  <c r="D18" i="1"/>
  <c r="H21" i="1"/>
  <c r="G44" i="4"/>
  <c r="H44" i="4"/>
  <c r="O22" i="1"/>
  <c r="O26" i="1"/>
  <c r="O43" i="1"/>
  <c r="O21" i="1"/>
  <c r="O25" i="1"/>
  <c r="O29" i="1"/>
  <c r="O31" i="1"/>
  <c r="O33" i="1"/>
  <c r="O35" i="1"/>
  <c r="O37" i="1"/>
  <c r="O39" i="1"/>
  <c r="O42" i="1"/>
  <c r="O24" i="1"/>
  <c r="O28" i="1"/>
  <c r="O41" i="1"/>
  <c r="O45" i="1"/>
  <c r="O23" i="1"/>
  <c r="O27" i="1"/>
  <c r="O30" i="1"/>
  <c r="O32" i="1"/>
  <c r="O34" i="1"/>
  <c r="O36" i="1"/>
  <c r="O38" i="1"/>
  <c r="O40" i="1"/>
  <c r="O44" i="1"/>
  <c r="O22" i="2"/>
  <c r="O26" i="2"/>
  <c r="O30" i="2"/>
  <c r="O34" i="2"/>
  <c r="O38" i="2"/>
  <c r="O42" i="2"/>
  <c r="O21" i="2"/>
  <c r="O25" i="2"/>
  <c r="O29" i="2"/>
  <c r="O33" i="2"/>
  <c r="O37" i="2"/>
  <c r="O41" i="2"/>
  <c r="O45" i="2"/>
  <c r="O24" i="2"/>
  <c r="O28" i="2"/>
  <c r="O32" i="2"/>
  <c r="O36" i="2"/>
  <c r="O40" i="2"/>
  <c r="O44" i="2"/>
  <c r="O23" i="2"/>
  <c r="O27" i="2"/>
  <c r="O31" i="2"/>
  <c r="O35" i="2"/>
  <c r="O39" i="2"/>
  <c r="O43" i="2"/>
  <c r="G69" i="4" l="1"/>
  <c r="P69" i="4"/>
  <c r="C11" i="4"/>
  <c r="C12" i="4"/>
  <c r="C16" i="4" l="1"/>
  <c r="D18" i="4" s="1"/>
  <c r="O69" i="4"/>
  <c r="O65" i="4"/>
  <c r="O66" i="4"/>
  <c r="O22" i="4"/>
  <c r="O21" i="4"/>
  <c r="O68" i="4"/>
  <c r="O38" i="4"/>
  <c r="O33" i="4"/>
  <c r="O43" i="4"/>
  <c r="O34" i="4"/>
  <c r="O24" i="4"/>
  <c r="O63" i="4"/>
  <c r="O29" i="4"/>
  <c r="O49" i="4"/>
  <c r="O37" i="4"/>
  <c r="O48" i="4"/>
  <c r="O59" i="4"/>
  <c r="O46" i="4"/>
  <c r="O67" i="4"/>
  <c r="O47" i="4"/>
  <c r="O28" i="4"/>
  <c r="O64" i="4"/>
  <c r="O35" i="4"/>
  <c r="O61" i="4"/>
  <c r="O56" i="4"/>
  <c r="O60" i="4"/>
  <c r="O44" i="4"/>
  <c r="C15" i="4"/>
  <c r="C18" i="4" s="1"/>
  <c r="O54" i="4"/>
  <c r="O26" i="4"/>
  <c r="O53" i="4"/>
  <c r="O31" i="4"/>
  <c r="O55" i="4"/>
  <c r="O42" i="4"/>
  <c r="O30" i="4"/>
  <c r="O62" i="4"/>
  <c r="O27" i="4"/>
  <c r="O58" i="4"/>
  <c r="O36" i="4"/>
  <c r="O52" i="4"/>
  <c r="O25" i="4"/>
  <c r="O50" i="4"/>
  <c r="O57" i="4"/>
  <c r="O41" i="4"/>
  <c r="O51" i="4"/>
  <c r="O23" i="4"/>
  <c r="O40" i="4"/>
  <c r="O39" i="4"/>
  <c r="O45" i="4"/>
  <c r="O32" i="4"/>
  <c r="K69" i="4"/>
  <c r="F18" i="4" l="1"/>
  <c r="F19" i="4" s="1"/>
</calcChain>
</file>

<file path=xl/sharedStrings.xml><?xml version="1.0" encoding="utf-8"?>
<sst xmlns="http://schemas.openxmlformats.org/spreadsheetml/2006/main" count="654" uniqueCount="242">
  <si>
    <t>BH UMa</t>
  </si>
  <si>
    <t>See page C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</si>
  <si>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</si>
  <si>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</si>
  <si>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</si>
  <si>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</si>
  <si>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</si>
  <si>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</si>
  <si>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</si>
  <si>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</si>
  <si>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</si>
  <si>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</si>
  <si>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</si>
  <si>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</si>
  <si>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</si>
  <si>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</si>
  <si>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</si>
  <si>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</si>
  <si>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</si>
  <si>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</si>
  <si>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</si>
  <si>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</si>
  <si>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</si>
  <si>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</si>
  <si>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</si>
  <si>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BBSAG</t>
  </si>
  <si>
    <t>Nelson</t>
  </si>
  <si>
    <t>S3</t>
  </si>
  <si>
    <t>S4</t>
  </si>
  <si>
    <t>S5</t>
  </si>
  <si>
    <t>S6</t>
  </si>
  <si>
    <t>Lin Fit</t>
  </si>
  <si>
    <t>Q. Fit</t>
  </si>
  <si>
    <t>Date</t>
  </si>
  <si>
    <t>BBSAG Bull.23</t>
  </si>
  <si>
    <t>Diethelm R</t>
  </si>
  <si>
    <t>B</t>
  </si>
  <si>
    <t>BBSAG Bull.46</t>
  </si>
  <si>
    <t>II</t>
  </si>
  <si>
    <t>BBSAG Bull.60</t>
  </si>
  <si>
    <t>Germann R</t>
  </si>
  <si>
    <t>BBSAG Bull.84</t>
  </si>
  <si>
    <t>Blaettler E</t>
  </si>
  <si>
    <t>BBSAG Bull.87</t>
  </si>
  <si>
    <t>BBSAG Bull.91</t>
  </si>
  <si>
    <t>Peter H</t>
  </si>
  <si>
    <t>BBSAG Bull.97</t>
  </si>
  <si>
    <t>BBSAG Bull.98</t>
  </si>
  <si>
    <t>BBSAG Bull.101</t>
  </si>
  <si>
    <t>BBSAG Bull.104</t>
  </si>
  <si>
    <t>BBSAG Bull.111</t>
  </si>
  <si>
    <t>Kohl M</t>
  </si>
  <si>
    <t>BBSAG Bull.114</t>
  </si>
  <si>
    <t>IBVS 5493</t>
  </si>
  <si>
    <t>RHN 2004</t>
  </si>
  <si>
    <t>I</t>
  </si>
  <si>
    <t>Rubbish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</si>
  <si>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</si>
  <si>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</si>
  <si>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</si>
  <si>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</si>
  <si>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</si>
  <si>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</si>
  <si>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</si>
  <si>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</si>
  <si>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</si>
  <si>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</si>
  <si>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</si>
  <si>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2442570.427 </t>
  </si>
  <si>
    <t> 06.06.1975 22:14 </t>
  </si>
  <si>
    <t> 0.025 </t>
  </si>
  <si>
    <t>V </t>
  </si>
  <si>
    <t> R.Diethelm </t>
  </si>
  <si>
    <t> BBS 23 </t>
  </si>
  <si>
    <t>2444299.318 </t>
  </si>
  <si>
    <t> 29.02.1980 19:37 </t>
  </si>
  <si>
    <t> 0.024 </t>
  </si>
  <si>
    <t> BBS 46 </t>
  </si>
  <si>
    <t>2445093.348 </t>
  </si>
  <si>
    <t> 03.05.1982 20:21 </t>
  </si>
  <si>
    <t> 0.000 </t>
  </si>
  <si>
    <t> BBS 60 </t>
  </si>
  <si>
    <t>2445101.381 </t>
  </si>
  <si>
    <t> 11.05.1982 21:08 </t>
  </si>
  <si>
    <t> -0.002 </t>
  </si>
  <si>
    <t>2445115.365 </t>
  </si>
  <si>
    <t> 25.05.1982 20:45 </t>
  </si>
  <si>
    <t> 0.008 </t>
  </si>
  <si>
    <t>2446861.374 </t>
  </si>
  <si>
    <t> 06.03.1987 20:58 </t>
  </si>
  <si>
    <t> E.Blättler </t>
  </si>
  <si>
    <t> BBS 84 </t>
  </si>
  <si>
    <t>2447208.276 </t>
  </si>
  <si>
    <t> 16.02.1988 18:37 </t>
  </si>
  <si>
    <t> 0.013 </t>
  </si>
  <si>
    <t> BBS 87 </t>
  </si>
  <si>
    <t>2447595.359 </t>
  </si>
  <si>
    <t> 09.03.1989 20:36 </t>
  </si>
  <si>
    <t> 0.026 </t>
  </si>
  <si>
    <t> H.Peter </t>
  </si>
  <si>
    <t> BBS 91 </t>
  </si>
  <si>
    <t>2447597.428 </t>
  </si>
  <si>
    <t> 11.03.1989 22:16 </t>
  </si>
  <si>
    <t> -0.001 </t>
  </si>
  <si>
    <t>2448361.343 </t>
  </si>
  <si>
    <t> 14.04.1991 20:13 </t>
  </si>
  <si>
    <t> -0.097 </t>
  </si>
  <si>
    <t> BBS 97 </t>
  </si>
  <si>
    <t>2448362.376 </t>
  </si>
  <si>
    <t> 15.04.1991 21:01 </t>
  </si>
  <si>
    <t> -0.112 </t>
  </si>
  <si>
    <t>2448385.426 </t>
  </si>
  <si>
    <t> 08.05.1991 22:13 </t>
  </si>
  <si>
    <t> -0.118 </t>
  </si>
  <si>
    <t> BBS 98 </t>
  </si>
  <si>
    <t>2448406.401 </t>
  </si>
  <si>
    <t> 29.05.1991 21:37 </t>
  </si>
  <si>
    <t> -0.104 </t>
  </si>
  <si>
    <t>2448689.375 </t>
  </si>
  <si>
    <t> 07.03.1992 21:00 </t>
  </si>
  <si>
    <t> -0.096 </t>
  </si>
  <si>
    <t> BBS 101 </t>
  </si>
  <si>
    <t>2448733.379 </t>
  </si>
  <si>
    <t> 20.04.1992 21:05 </t>
  </si>
  <si>
    <t> -0.110 </t>
  </si>
  <si>
    <t>2448763.421 </t>
  </si>
  <si>
    <t> 20.05.1992 22:06 </t>
  </si>
  <si>
    <t> -0.111 </t>
  </si>
  <si>
    <t>2448770.403 </t>
  </si>
  <si>
    <t> 27.05.1992 21:40 </t>
  </si>
  <si>
    <t> -0.116 </t>
  </si>
  <si>
    <t>2449090.393 </t>
  </si>
  <si>
    <t> 12.04.1993 21:25 </t>
  </si>
  <si>
    <t> -0.123 </t>
  </si>
  <si>
    <t> BBS 104 </t>
  </si>
  <si>
    <t>2449097.394 </t>
  </si>
  <si>
    <t> 19.04.1993 21:27 </t>
  </si>
  <si>
    <t> -0.109 </t>
  </si>
  <si>
    <t>2449163.427 </t>
  </si>
  <si>
    <t> 24.06.1993 22:14 </t>
  </si>
  <si>
    <t> -0.101 </t>
  </si>
  <si>
    <t>2450099.409 </t>
  </si>
  <si>
    <t> 16.01.1996 21:48 </t>
  </si>
  <si>
    <t> -0.006 </t>
  </si>
  <si>
    <t> M.Kohl </t>
  </si>
  <si>
    <t> BBS 111 </t>
  </si>
  <si>
    <t>2450194.439 </t>
  </si>
  <si>
    <t> 20.04.1996 22:32 </t>
  </si>
  <si>
    <t> 0.003 </t>
  </si>
  <si>
    <t> BBS 114 </t>
  </si>
  <si>
    <t>2452669.875 </t>
  </si>
  <si>
    <t> 30.01.2003 09:00 </t>
  </si>
  <si>
    <t> 0.004 </t>
  </si>
  <si>
    <t>E </t>
  </si>
  <si>
    <t>?</t>
  </si>
  <si>
    <t> S.Dvorak </t>
  </si>
  <si>
    <t>IBVS 5502 </t>
  </si>
  <si>
    <t>2452704.807 </t>
  </si>
  <si>
    <t> 06.03.2003 07:22 </t>
  </si>
  <si>
    <t> 0.002 </t>
  </si>
  <si>
    <t> R.Nelson </t>
  </si>
  <si>
    <t>IBVS 5493 </t>
  </si>
  <si>
    <t>2453866.47358 </t>
  </si>
  <si>
    <t> 10.05.2006 23:21 </t>
  </si>
  <si>
    <t> 0.10747 </t>
  </si>
  <si>
    <t>C </t>
  </si>
  <si>
    <t>R</t>
  </si>
  <si>
    <t> P.Svoboda </t>
  </si>
  <si>
    <t>OEJV 0074 </t>
  </si>
  <si>
    <t>2454216.3235 </t>
  </si>
  <si>
    <t> 25.04.2007 19:45 </t>
  </si>
  <si>
    <t> 0.2663 </t>
  </si>
  <si>
    <t>o</t>
  </si>
  <si>
    <t> U.Schmidt </t>
  </si>
  <si>
    <t>BAVM 201 </t>
  </si>
  <si>
    <t>2454220.5156 </t>
  </si>
  <si>
    <t> 30.04.2007 00:22 </t>
  </si>
  <si>
    <t>2455602.874 </t>
  </si>
  <si>
    <t> 10.02.2011 08:58 </t>
  </si>
  <si>
    <t> -0.070 </t>
  </si>
  <si>
    <t>IBVS 5992 </t>
  </si>
  <si>
    <t>2455643.4067 </t>
  </si>
  <si>
    <t> 22.03.2011 21:45 </t>
  </si>
  <si>
    <t> -0.0606 </t>
  </si>
  <si>
    <t>BAVM 220 </t>
  </si>
  <si>
    <t>2455644.4630 </t>
  </si>
  <si>
    <t> 23.03.2011 23:06 </t>
  </si>
  <si>
    <t> 0.2970 </t>
  </si>
  <si>
    <t>2455959.9257 </t>
  </si>
  <si>
    <t> 02.02.2012 10:13 </t>
  </si>
  <si>
    <t> -0.0452 </t>
  </si>
  <si>
    <t>IBVS 6029 </t>
  </si>
  <si>
    <t>2456034.6826 </t>
  </si>
  <si>
    <t> 17.04.2012 04:22 </t>
  </si>
  <si>
    <t> -0.0474 </t>
  </si>
  <si>
    <t>2451942.4493 </t>
  </si>
  <si>
    <t> 01.02.2001 22:46 </t>
  </si>
  <si>
    <t> -0.0921 </t>
  </si>
  <si>
    <t> BBS 124 </t>
  </si>
  <si>
    <t>2452042.426 </t>
  </si>
  <si>
    <t> 12.05.2001 22:13 </t>
  </si>
  <si>
    <t> -0.027 </t>
  </si>
  <si>
    <t> O.Pejcha </t>
  </si>
  <si>
    <t>2453515.0043 </t>
  </si>
  <si>
    <t> 24.05.2005 12:06 </t>
  </si>
  <si>
    <t> 0.0759 </t>
  </si>
  <si>
    <t> Nakajima </t>
  </si>
  <si>
    <t>VSB 44 </t>
  </si>
  <si>
    <t>BH UMa / GSC 03449-00652</t>
  </si>
  <si>
    <t>VXS says RRC</t>
  </si>
  <si>
    <t>EW</t>
  </si>
  <si>
    <t>VSX says RRC; GCVS says EW/KE</t>
  </si>
  <si>
    <t>as of 2019-07-08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</si>
  <si>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</si>
  <si>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</si>
  <si>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</si>
  <si>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</si>
  <si>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</si>
  <si>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</si>
  <si>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</si>
  <si>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</si>
  <si>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Next ToM</t>
  </si>
  <si>
    <t>IBVS</t>
  </si>
  <si>
    <t>OEJV</t>
  </si>
  <si>
    <t>Misc</t>
  </si>
  <si>
    <t>Lin 1</t>
  </si>
  <si>
    <t>Lin 2</t>
  </si>
  <si>
    <t>ROTSE</t>
  </si>
  <si>
    <t>OEJV 0074</t>
  </si>
  <si>
    <t>IBVS 5502</t>
  </si>
  <si>
    <t>IBVS 5602</t>
  </si>
  <si>
    <t>Krajci, priv.comm.</t>
  </si>
  <si>
    <t>IBVS 5874</t>
  </si>
  <si>
    <t>IBVS 5992</t>
  </si>
  <si>
    <t>IBVS 6010</t>
  </si>
  <si>
    <t>IBVS 6029</t>
  </si>
  <si>
    <t>OEJV 0168</t>
  </si>
  <si>
    <t>VSB-064</t>
  </si>
  <si>
    <t>IBVS 6244</t>
  </si>
  <si>
    <t>RHN 2020</t>
  </si>
  <si>
    <t>VSB 069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</si>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</sst>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m/d/yyyy"/>
    <numFmt numFmtId="166" formatCode="0.0000"/>
    <numFmt numFmtId="167" formatCode="m/d/yyyy\ h:mm"/>
    <numFmt numFmtId="169" formatCode="d/mm/yyyy;@"/>
    <numFmt numFmtId="170" formatCode="0.00000"/>
  </numFmts>
  <fonts count="24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21"/>
      <name val="Arial"/>
      <family val="2"/>
    </font>
    <font>
      <b/>
      <sz val="10"/>
      <color indexed="25"/>
      <name val="Arial"/>
      <family val="2"/>
    </font>
    <font>
      <u/>
      <sz val="10"/>
      <color indexed="12"/>
      <name val="Arial"/>
      <family val="2"/>
    </font>
    <font>
      <b/>
      <sz val="10"/>
      <color indexed="13"/>
      <name val="Arial"/>
      <family val="2"/>
    </font>
    <font>
      <sz val="10"/>
      <color indexed="13"/>
      <name val="Arial"/>
      <family val="2"/>
    </font>
    <font>
      <i/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43"/>
        <bgColor indexed="26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4" fontId="22" fillId="0" borderId="0" applyFill="0" applyBorder="0" applyProtection="0">
      <alignment vertical="top"/>
    </xf>
    <xf numFmtId="3" fontId="22" fillId="0" borderId="0" applyFill="0" applyBorder="0" applyProtection="0">
      <alignment vertical="top"/>
    </xf>
    <xf numFmtId="164" fontId="22" fillId="0" borderId="0" applyFill="0" applyBorder="0" applyProtection="0">
      <alignment vertical="top"/>
    </xf>
    <xf numFmtId="0" fontId="22" fillId="0" borderId="0" applyFill="0" applyBorder="0" applyProtection="0">
      <alignment vertical="top"/>
    </xf>
    <xf numFmtId="2" fontId="22" fillId="0" borderId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22" fillId="0" borderId="0"/>
    <xf numFmtId="0" fontId="22" fillId="0" borderId="0"/>
  </cellStyleXfs>
  <cellXfs count="8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165" fontId="0" fillId="0" borderId="0" xfId="0" applyNumberFormat="1" applyAlignment="1"/>
    <xf numFmtId="0" fontId="4" fillId="0" borderId="0" xfId="0" applyFont="1" applyAlignment="1"/>
    <xf numFmtId="166" fontId="0" fillId="0" borderId="0" xfId="0" applyNumberFormat="1" applyAlignment="1"/>
    <xf numFmtId="0" fontId="0" fillId="0" borderId="0" xfId="0" applyAlignment="1">
      <alignment horizontal="right"/>
    </xf>
    <xf numFmtId="166" fontId="0" fillId="2" borderId="5" xfId="1" applyNumberFormat="1" applyFont="1" applyFill="1" applyBorder="1" applyAlignment="1" applyProtection="1">
      <alignment horizontal="right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10" fillId="0" borderId="0" xfId="6" applyNumberFormat="1" applyFont="1" applyFill="1" applyBorder="1" applyAlignment="1" applyProtection="1">
      <alignment horizontal="left"/>
    </xf>
    <xf numFmtId="0" fontId="0" fillId="0" borderId="10" xfId="0" applyFont="1" applyBorder="1" applyAlignment="1">
      <alignment horizontal="center"/>
    </xf>
    <xf numFmtId="0" fontId="0" fillId="0" borderId="11" xfId="0" applyFont="1" applyBorder="1">
      <alignment vertical="top"/>
    </xf>
    <xf numFmtId="0" fontId="6" fillId="2" borderId="12" xfId="0" applyFont="1" applyFill="1" applyBorder="1" applyAlignment="1">
      <alignment horizontal="left" vertical="top" wrapText="1" indent="1"/>
    </xf>
    <xf numFmtId="0" fontId="6" fillId="2" borderId="12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right" vertical="top" wrapText="1"/>
    </xf>
    <xf numFmtId="0" fontId="10" fillId="2" borderId="12" xfId="6" applyNumberFormat="1" applyFont="1" applyFill="1" applyBorder="1" applyAlignment="1" applyProtection="1">
      <alignment horizontal="right" vertical="top" wrapText="1"/>
    </xf>
    <xf numFmtId="0" fontId="11" fillId="3" borderId="0" xfId="0" applyFont="1" applyFill="1" applyAlignment="1"/>
    <xf numFmtId="0" fontId="12" fillId="3" borderId="0" xfId="0" applyFont="1" applyFill="1" applyAlignme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3" fillId="0" borderId="0" xfId="0" applyFont="1">
      <alignment vertical="top"/>
    </xf>
    <xf numFmtId="0" fontId="4" fillId="0" borderId="0" xfId="0" applyFont="1" applyAlignment="1">
      <alignment horizontal="center"/>
    </xf>
    <xf numFmtId="0" fontId="16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7" fontId="4" fillId="0" borderId="0" xfId="0" applyNumberFormat="1" applyFont="1">
      <alignment vertical="top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7" fillId="0" borderId="1" xfId="0" applyFont="1" applyBorder="1" applyAlignment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9" fillId="0" borderId="0" xfId="0" applyFont="1" applyAlignment="1"/>
    <xf numFmtId="166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/>
    <xf numFmtId="0" fontId="6" fillId="0" borderId="0" xfId="0" applyFont="1" applyFill="1" applyAlignment="1">
      <alignment horizontal="left"/>
    </xf>
    <xf numFmtId="166" fontId="6" fillId="2" borderId="0" xfId="1" applyNumberFormat="1" applyFont="1" applyFill="1" applyBorder="1" applyAlignment="1" applyProtection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4" fillId="4" borderId="0" xfId="0" applyFont="1" applyFill="1" applyAlignment="1"/>
    <xf numFmtId="0" fontId="20" fillId="0" borderId="0" xfId="0" applyFont="1" applyAlignment="1">
      <alignment horizontal="left"/>
    </xf>
    <xf numFmtId="0" fontId="21" fillId="0" borderId="0" xfId="7" applyFont="1" applyAlignment="1">
      <alignment horizontal="left"/>
    </xf>
    <xf numFmtId="0" fontId="21" fillId="0" borderId="0" xfId="7" applyFont="1" applyBorder="1" applyAlignment="1">
      <alignment horizontal="center"/>
    </xf>
    <xf numFmtId="166" fontId="21" fillId="0" borderId="0" xfId="7" applyNumberFormat="1" applyFont="1" applyFill="1" applyBorder="1" applyAlignment="1" applyProtection="1">
      <alignment horizontal="left" vertical="top"/>
    </xf>
    <xf numFmtId="0" fontId="21" fillId="0" borderId="0" xfId="7" applyNumberFormat="1" applyFont="1" applyFill="1" applyBorder="1" applyAlignment="1" applyProtection="1">
      <alignment horizontal="left" vertical="top"/>
    </xf>
    <xf numFmtId="0" fontId="18" fillId="0" borderId="0" xfId="8" applyFont="1" applyAlignment="1">
      <alignment horizontal="left"/>
    </xf>
    <xf numFmtId="0" fontId="18" fillId="0" borderId="0" xfId="8" applyFont="1" applyAlignment="1">
      <alignment horizontal="center" wrapText="1"/>
    </xf>
    <xf numFmtId="0" fontId="18" fillId="0" borderId="0" xfId="8" applyFont="1" applyAlignment="1">
      <alignment horizontal="left" wrapText="1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left"/>
    </xf>
    <xf numFmtId="169" fontId="0" fillId="0" borderId="0" xfId="0" applyNumberFormat="1" applyAlignme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70" fontId="23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Fill="1" applyAlignment="1"/>
  </cellXfs>
  <cellStyles count="9">
    <cellStyle name="Comma" xfId="1" builtinId="3"/>
    <cellStyle name="Comma0" xfId="2"/>
    <cellStyle name="Currency0" xfId="3"/>
    <cellStyle name="Date" xfId="4"/>
    <cellStyle name="Fixed" xfId="5"/>
    <cellStyle name="Hyperlink" xfId="6" builtinId="8"/>
    <cellStyle name="Normal" xfId="0" builtinId="0"/>
    <cellStyle name="Normal_A" xfId="7"/>
    <cellStyle name="Normal_A_1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UMa - O-C Diagr.</a:t>
            </a:r>
          </a:p>
        </c:rich>
      </c:tx>
      <c:layout>
        <c:manualLayout>
          <c:xMode val="edge"/>
          <c:yMode val="edge"/>
          <c:x val="0.3965308797366871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8513965344695"/>
          <c:y val="0.22935848312811524"/>
          <c:w val="0.84882382766978837"/>
          <c:h val="0.5749252643744755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</c:numCache>
            </c:numRef>
          </c:xVal>
          <c:yVal>
            <c:numRef>
              <c:f>Active!$H$21:$H$68</c:f>
              <c:numCache>
                <c:formatCode>General</c:formatCode>
                <c:ptCount val="48"/>
                <c:pt idx="2">
                  <c:v>0.34937999999965541</c:v>
                </c:pt>
                <c:pt idx="22">
                  <c:v>-0.34234000000287779</c:v>
                </c:pt>
                <c:pt idx="23">
                  <c:v>-0.3400199999960023</c:v>
                </c:pt>
                <c:pt idx="24">
                  <c:v>-0.32228000000031898</c:v>
                </c:pt>
                <c:pt idx="25">
                  <c:v>-0.49359999999433057</c:v>
                </c:pt>
                <c:pt idx="26">
                  <c:v>-0.43957999999838648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8C-45AB-9691-4B469E9D379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</c:numCache>
            </c:numRef>
          </c:xVal>
          <c:yVal>
            <c:numRef>
              <c:f>Active!$I$21:$I$68</c:f>
              <c:numCache>
                <c:formatCode>General</c:formatCode>
                <c:ptCount val="48"/>
                <c:pt idx="0">
                  <c:v>0.65074000000458909</c:v>
                </c:pt>
                <c:pt idx="1">
                  <c:v>0.46012000000337139</c:v>
                </c:pt>
                <c:pt idx="3">
                  <c:v>0.34664000000339001</c:v>
                </c:pt>
                <c:pt idx="4">
                  <c:v>0.35543999999936204</c:v>
                </c:pt>
                <c:pt idx="5">
                  <c:v>0.16320000000268919</c:v>
                </c:pt>
                <c:pt idx="6">
                  <c:v>0.1308599999974831</c:v>
                </c:pt>
                <c:pt idx="7">
                  <c:v>0.10081999999965774</c:v>
                </c:pt>
                <c:pt idx="8">
                  <c:v>7.3540000004868489E-2</c:v>
                </c:pt>
                <c:pt idx="9">
                  <c:v>-0.10551999999734107</c:v>
                </c:pt>
                <c:pt idx="10">
                  <c:v>-0.12066000000049826</c:v>
                </c:pt>
                <c:pt idx="11">
                  <c:v>-0.12973999999667285</c:v>
                </c:pt>
                <c:pt idx="12">
                  <c:v>-0.11753999999928055</c:v>
                </c:pt>
                <c:pt idx="13">
                  <c:v>-0.14133999999467051</c:v>
                </c:pt>
                <c:pt idx="14">
                  <c:v>-0.15921999999409309</c:v>
                </c:pt>
                <c:pt idx="15">
                  <c:v>-0.16389999999955762</c:v>
                </c:pt>
                <c:pt idx="16">
                  <c:v>-0.16949999999633292</c:v>
                </c:pt>
                <c:pt idx="17">
                  <c:v>-0.21158000000286847</c:v>
                </c:pt>
                <c:pt idx="18">
                  <c:v>-0.19817999999941094</c:v>
                </c:pt>
                <c:pt idx="19">
                  <c:v>-0.19799999999668216</c:v>
                </c:pt>
                <c:pt idx="20">
                  <c:v>-0.20502000000124099</c:v>
                </c:pt>
                <c:pt idx="21">
                  <c:v>-0.20638000000326429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8C-45AB-9691-4B469E9D379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</c:numCache>
            </c:numRef>
          </c:xVal>
          <c:yVal>
            <c:numRef>
              <c:f>Active!$J$21:$J$68</c:f>
              <c:numCache>
                <c:formatCode>General</c:formatCode>
                <c:ptCount val="48"/>
                <c:pt idx="35">
                  <c:v>-0.38444000000163214</c:v>
                </c:pt>
                <c:pt idx="36">
                  <c:v>-0.38489999999728752</c:v>
                </c:pt>
                <c:pt idx="38">
                  <c:v>-0.51853999999730149</c:v>
                </c:pt>
                <c:pt idx="39">
                  <c:v>-0.51037999999243766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8C-45AB-9691-4B469E9D379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</c:numCache>
            </c:numRef>
          </c:xVal>
          <c:yVal>
            <c:numRef>
              <c:f>Active!$K$21:$K$68</c:f>
              <c:numCache>
                <c:formatCode>General</c:formatCode>
                <c:ptCount val="48"/>
                <c:pt idx="27">
                  <c:v>-0.43867999999929452</c:v>
                </c:pt>
                <c:pt idx="28">
                  <c:v>-0.47705999999743653</c:v>
                </c:pt>
                <c:pt idx="29">
                  <c:v>-0.4830599999986589</c:v>
                </c:pt>
                <c:pt idx="30">
                  <c:v>-0.48113999999623047</c:v>
                </c:pt>
                <c:pt idx="31">
                  <c:v>-0.48369999999704305</c:v>
                </c:pt>
                <c:pt idx="32">
                  <c:v>-0.48707999999896856</c:v>
                </c:pt>
                <c:pt idx="33">
                  <c:v>-0.49798000000009779</c:v>
                </c:pt>
                <c:pt idx="34">
                  <c:v>-0.5049799999978859</c:v>
                </c:pt>
                <c:pt idx="37">
                  <c:v>-0.5231599999970058</c:v>
                </c:pt>
                <c:pt idx="40">
                  <c:v>-0.53781999999773689</c:v>
                </c:pt>
                <c:pt idx="41">
                  <c:v>-0.54823999999644002</c:v>
                </c:pt>
                <c:pt idx="42">
                  <c:v>-0.56517999999778112</c:v>
                </c:pt>
                <c:pt idx="43">
                  <c:v>-0.61463999999978114</c:v>
                </c:pt>
                <c:pt idx="44">
                  <c:v>-0.60199999999895226</c:v>
                </c:pt>
                <c:pt idx="45">
                  <c:v>-0.62384000000020023</c:v>
                </c:pt>
                <c:pt idx="46">
                  <c:v>-0.68103879630507436</c:v>
                </c:pt>
                <c:pt idx="47">
                  <c:v>-0.67995999999402557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8C-45AB-9691-4B469E9D379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</c:numCache>
            </c:numRef>
          </c:xVal>
          <c:yVal>
            <c:numRef>
              <c:f>Active!$L$21:$L$68</c:f>
              <c:numCache>
                <c:formatCode>General</c:formatCode>
                <c:ptCount val="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98C-45AB-9691-4B469E9D379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</c:numCache>
            </c:numRef>
          </c:xVal>
          <c:yVal>
            <c:numRef>
              <c:f>Active!$M$21:$M$68</c:f>
              <c:numCache>
                <c:formatCode>General</c:formatCode>
                <c:ptCount val="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98C-45AB-9691-4B469E9D379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</c:numCache>
            </c:numRef>
          </c:xVal>
          <c:yVal>
            <c:numRef>
              <c:f>Active!$N$21:$N$68</c:f>
              <c:numCache>
                <c:formatCode>General</c:formatCode>
                <c:ptCount val="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98C-45AB-9691-4B469E9D379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1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</c:numCache>
            </c:numRef>
          </c:xVal>
          <c:yVal>
            <c:numRef>
              <c:f>Active!$O$21:$O$68</c:f>
              <c:numCache>
                <c:formatCode>General</c:formatCode>
                <c:ptCount val="48"/>
                <c:pt idx="0">
                  <c:v>0.1337696408214582</c:v>
                </c:pt>
                <c:pt idx="1">
                  <c:v>4.784933515607067E-2</c:v>
                </c:pt>
                <c:pt idx="2">
                  <c:v>8.3874530026203046E-3</c:v>
                </c:pt>
                <c:pt idx="3">
                  <c:v>7.988146671987063E-3</c:v>
                </c:pt>
                <c:pt idx="4">
                  <c:v>7.2937008795814252E-3</c:v>
                </c:pt>
                <c:pt idx="5">
                  <c:v>-7.947730088150301E-2</c:v>
                </c:pt>
                <c:pt idx="6">
                  <c:v>-9.6716917677972969E-2</c:v>
                </c:pt>
                <c:pt idx="7">
                  <c:v>-0.11595306612760914</c:v>
                </c:pt>
                <c:pt idx="8">
                  <c:v>-0.11605723299646999</c:v>
                </c:pt>
                <c:pt idx="9">
                  <c:v>-0.15402605669624822</c:v>
                </c:pt>
                <c:pt idx="10">
                  <c:v>-0.15407814013067866</c:v>
                </c:pt>
                <c:pt idx="11">
                  <c:v>-0.15522397568814797</c:v>
                </c:pt>
                <c:pt idx="12">
                  <c:v>-0.15626564437675641</c:v>
                </c:pt>
                <c:pt idx="13">
                  <c:v>-0.17032817167297057</c:v>
                </c:pt>
                <c:pt idx="14">
                  <c:v>-0.17251567591904834</c:v>
                </c:pt>
                <c:pt idx="15">
                  <c:v>-0.17400873437272046</c:v>
                </c:pt>
                <c:pt idx="16">
                  <c:v>-0.17435595726892328</c:v>
                </c:pt>
                <c:pt idx="17">
                  <c:v>-0.1902587659150124</c:v>
                </c:pt>
                <c:pt idx="18">
                  <c:v>-0.19060598881121521</c:v>
                </c:pt>
                <c:pt idx="19">
                  <c:v>-0.19388724518033185</c:v>
                </c:pt>
                <c:pt idx="20">
                  <c:v>-0.24039775212669942</c:v>
                </c:pt>
                <c:pt idx="21">
                  <c:v>-0.24511998351505776</c:v>
                </c:pt>
                <c:pt idx="22">
                  <c:v>-0.30201245505788965</c:v>
                </c:pt>
                <c:pt idx="23">
                  <c:v>-0.31209928019258154</c:v>
                </c:pt>
                <c:pt idx="24">
                  <c:v>-0.31647428868473704</c:v>
                </c:pt>
                <c:pt idx="25">
                  <c:v>-0.33199515214500308</c:v>
                </c:pt>
                <c:pt idx="26">
                  <c:v>-0.33696043956070337</c:v>
                </c:pt>
                <c:pt idx="27">
                  <c:v>-0.33696043956070337</c:v>
                </c:pt>
                <c:pt idx="28">
                  <c:v>-0.3681410556397165</c:v>
                </c:pt>
                <c:pt idx="29">
                  <c:v>-0.36987717012073063</c:v>
                </c:pt>
                <c:pt idx="30">
                  <c:v>-0.38577997876681969</c:v>
                </c:pt>
                <c:pt idx="31">
                  <c:v>-0.38720359264125126</c:v>
                </c:pt>
                <c:pt idx="32">
                  <c:v>-0.38722095378606142</c:v>
                </c:pt>
                <c:pt idx="33">
                  <c:v>-0.41013766493544745</c:v>
                </c:pt>
                <c:pt idx="34">
                  <c:v>-0.42760297661444924</c:v>
                </c:pt>
                <c:pt idx="35">
                  <c:v>-0.44498148256940034</c:v>
                </c:pt>
                <c:pt idx="36">
                  <c:v>-0.44518981630712201</c:v>
                </c:pt>
                <c:pt idx="37">
                  <c:v>-0.51388786632084971</c:v>
                </c:pt>
                <c:pt idx="38">
                  <c:v>-0.51590175911882608</c:v>
                </c:pt>
                <c:pt idx="39">
                  <c:v>-0.51595384255325649</c:v>
                </c:pt>
                <c:pt idx="40">
                  <c:v>-0.53163095631681379</c:v>
                </c:pt>
                <c:pt idx="41">
                  <c:v>-0.53534624130618391</c:v>
                </c:pt>
                <c:pt idx="42">
                  <c:v>-0.5733497872955825</c:v>
                </c:pt>
                <c:pt idx="43">
                  <c:v>-0.62293321687334502</c:v>
                </c:pt>
                <c:pt idx="44">
                  <c:v>-0.62930475701866673</c:v>
                </c:pt>
                <c:pt idx="45">
                  <c:v>-0.62935684045309714</c:v>
                </c:pt>
                <c:pt idx="46">
                  <c:v>-0.67906179804453071</c:v>
                </c:pt>
                <c:pt idx="47">
                  <c:v>-0.67899235346529008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98C-45AB-9691-4B469E9D379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Lin 2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-3612</c:v>
                </c:pt>
                <c:pt idx="1">
                  <c:v>-1137.5</c:v>
                </c:pt>
                <c:pt idx="2">
                  <c:v>-1</c:v>
                </c:pt>
                <c:pt idx="3">
                  <c:v>10.5</c:v>
                </c:pt>
                <c:pt idx="4">
                  <c:v>30.5</c:v>
                </c:pt>
                <c:pt idx="5">
                  <c:v>2529.5</c:v>
                </c:pt>
                <c:pt idx="6">
                  <c:v>3026</c:v>
                </c:pt>
                <c:pt idx="7">
                  <c:v>3580</c:v>
                </c:pt>
                <c:pt idx="8">
                  <c:v>3583</c:v>
                </c:pt>
                <c:pt idx="9">
                  <c:v>4676.5</c:v>
                </c:pt>
                <c:pt idx="10">
                  <c:v>4678</c:v>
                </c:pt>
                <c:pt idx="11">
                  <c:v>4711</c:v>
                </c:pt>
                <c:pt idx="12">
                  <c:v>4741</c:v>
                </c:pt>
                <c:pt idx="13">
                  <c:v>5146</c:v>
                </c:pt>
                <c:pt idx="14">
                  <c:v>5209</c:v>
                </c:pt>
                <c:pt idx="15">
                  <c:v>5252</c:v>
                </c:pt>
                <c:pt idx="16">
                  <c:v>5262</c:v>
                </c:pt>
                <c:pt idx="17">
                  <c:v>5720</c:v>
                </c:pt>
                <c:pt idx="18">
                  <c:v>5730</c:v>
                </c:pt>
                <c:pt idx="19">
                  <c:v>5824.5</c:v>
                </c:pt>
                <c:pt idx="20">
                  <c:v>7164</c:v>
                </c:pt>
                <c:pt idx="21">
                  <c:v>7300</c:v>
                </c:pt>
                <c:pt idx="22">
                  <c:v>8938.5</c:v>
                </c:pt>
                <c:pt idx="23">
                  <c:v>9229</c:v>
                </c:pt>
                <c:pt idx="24">
                  <c:v>9355</c:v>
                </c:pt>
                <c:pt idx="25">
                  <c:v>9802</c:v>
                </c:pt>
                <c:pt idx="26">
                  <c:v>9945</c:v>
                </c:pt>
                <c:pt idx="27">
                  <c:v>9945</c:v>
                </c:pt>
                <c:pt idx="28">
                  <c:v>10843</c:v>
                </c:pt>
                <c:pt idx="29">
                  <c:v>10893</c:v>
                </c:pt>
                <c:pt idx="30">
                  <c:v>11351</c:v>
                </c:pt>
                <c:pt idx="31">
                  <c:v>11392</c:v>
                </c:pt>
                <c:pt idx="32">
                  <c:v>11392.5</c:v>
                </c:pt>
                <c:pt idx="33">
                  <c:v>12052.5</c:v>
                </c:pt>
                <c:pt idx="34">
                  <c:v>12555.5</c:v>
                </c:pt>
                <c:pt idx="35">
                  <c:v>13056</c:v>
                </c:pt>
                <c:pt idx="36">
                  <c:v>13062</c:v>
                </c:pt>
                <c:pt idx="37">
                  <c:v>15040.5</c:v>
                </c:pt>
                <c:pt idx="38">
                  <c:v>15098.5</c:v>
                </c:pt>
                <c:pt idx="39">
                  <c:v>15100</c:v>
                </c:pt>
                <c:pt idx="40">
                  <c:v>15551.5</c:v>
                </c:pt>
                <c:pt idx="41">
                  <c:v>15658.5</c:v>
                </c:pt>
                <c:pt idx="42">
                  <c:v>16753</c:v>
                </c:pt>
                <c:pt idx="43">
                  <c:v>18181</c:v>
                </c:pt>
                <c:pt idx="44">
                  <c:v>18364.5</c:v>
                </c:pt>
                <c:pt idx="45">
                  <c:v>18366</c:v>
                </c:pt>
                <c:pt idx="46">
                  <c:v>19797.5</c:v>
                </c:pt>
                <c:pt idx="47">
                  <c:v>19795.5</c:v>
                </c:pt>
              </c:numCache>
            </c:numRef>
          </c:xVal>
          <c:yVal>
            <c:numRef>
              <c:f>Active!$P$21:$P$68</c:f>
              <c:numCache>
                <c:formatCode>General</c:formatCode>
                <c:ptCount val="48"/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98C-45AB-9691-4B469E9D3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799264"/>
        <c:axId val="1"/>
      </c:scatterChart>
      <c:valAx>
        <c:axId val="625799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77264551968182"/>
              <c:y val="0.88685272139147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327137546468404E-2"/>
              <c:y val="0.4250777368425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7992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570038410626179"/>
          <c:y val="0.9113175531957588"/>
          <c:w val="0.6146228375728126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UMa - O-C Diagr.</a:t>
            </a:r>
          </a:p>
        </c:rich>
      </c:tx>
      <c:layout>
        <c:manualLayout>
          <c:xMode val="edge"/>
          <c:yMode val="edge"/>
          <c:x val="0.33066174343437532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34485802156854"/>
          <c:y val="0.23584978088695488"/>
          <c:w val="0.76352780123508857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(old)'!$H$21:$H$45</c:f>
              <c:numCache>
                <c:formatCode>General</c:formatCode>
                <c:ptCount val="2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33-4BEE-9803-33D41695FC95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(old)'!$I$21:$I$45</c:f>
              <c:numCache>
                <c:formatCode>General</c:formatCode>
                <c:ptCount val="25"/>
                <c:pt idx="1">
                  <c:v>2.4757400002272334E-2</c:v>
                </c:pt>
                <c:pt idx="2">
                  <c:v>2.3684100000537001E-2</c:v>
                </c:pt>
                <c:pt idx="3">
                  <c:v>-1.8590999970911071E-3</c:v>
                </c:pt>
                <c:pt idx="4">
                  <c:v>8.4729000009247102E-3</c:v>
                </c:pt>
                <c:pt idx="5">
                  <c:v>7.6563000038731843E-3</c:v>
                </c:pt>
                <c:pt idx="6">
                  <c:v>1.334820000192849E-2</c:v>
                </c:pt>
                <c:pt idx="7">
                  <c:v>2.5744599995960016E-2</c:v>
                </c:pt>
                <c:pt idx="8">
                  <c:v>-1.3055999952484854E-3</c:v>
                </c:pt>
                <c:pt idx="9">
                  <c:v>-9.6603499994671438E-2</c:v>
                </c:pt>
                <c:pt idx="10">
                  <c:v>-0.1116286000033142</c:v>
                </c:pt>
                <c:pt idx="11">
                  <c:v>-0.11818079999648035</c:v>
                </c:pt>
                <c:pt idx="12">
                  <c:v>-0.10368279999966035</c:v>
                </c:pt>
                <c:pt idx="13">
                  <c:v>-9.645979999913834E-2</c:v>
                </c:pt>
                <c:pt idx="14">
                  <c:v>-0.10951399999612477</c:v>
                </c:pt>
                <c:pt idx="15">
                  <c:v>-0.11090019999392098</c:v>
                </c:pt>
                <c:pt idx="16">
                  <c:v>-0.11573420000058832</c:v>
                </c:pt>
                <c:pt idx="17">
                  <c:v>-0.12273139999888372</c:v>
                </c:pt>
                <c:pt idx="18">
                  <c:v>-0.10856539999804227</c:v>
                </c:pt>
                <c:pt idx="19">
                  <c:v>-0.10114669999165926</c:v>
                </c:pt>
                <c:pt idx="20">
                  <c:v>-5.5609999981243163E-3</c:v>
                </c:pt>
                <c:pt idx="21">
                  <c:v>3.4966000021086074E-3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33-4BEE-9803-33D41695FC95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(old)'!$J$21:$J$45</c:f>
              <c:numCache>
                <c:formatCode>General</c:formatCode>
                <c:ptCount val="25"/>
                <c:pt idx="22">
                  <c:v>2.040400002442766E-3</c:v>
                </c:pt>
                <c:pt idx="23">
                  <c:v>3.9043200005835388E-2</c:v>
                </c:pt>
                <c:pt idx="24">
                  <c:v>3.6282100001699291E-2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33-4BEE-9803-33D41695FC95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(old)'!$K$21:$K$45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33-4BEE-9803-33D41695FC95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(old)'!$L$21:$L$45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33-4BEE-9803-33D41695FC95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(old)'!$M$21:$M$45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33-4BEE-9803-33D41695FC95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(old)'!$N$21:$N$45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33-4BEE-9803-33D41695FC95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(old)'!$F$21:$F$45</c:f>
              <c:numCache>
                <c:formatCode>General</c:formatCode>
                <c:ptCount val="25"/>
                <c:pt idx="0">
                  <c:v>0</c:v>
                </c:pt>
                <c:pt idx="1">
                  <c:v>-3611</c:v>
                </c:pt>
                <c:pt idx="2">
                  <c:v>-1136.5</c:v>
                </c:pt>
                <c:pt idx="3">
                  <c:v>11.5</c:v>
                </c:pt>
                <c:pt idx="4">
                  <c:v>31.5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4677.5</c:v>
                </c:pt>
                <c:pt idx="10">
                  <c:v>4679</c:v>
                </c:pt>
                <c:pt idx="11">
                  <c:v>4712</c:v>
                </c:pt>
                <c:pt idx="12">
                  <c:v>4742</c:v>
                </c:pt>
                <c:pt idx="13">
                  <c:v>5147</c:v>
                </c:pt>
                <c:pt idx="14">
                  <c:v>5210</c:v>
                </c:pt>
                <c:pt idx="15">
                  <c:v>5253</c:v>
                </c:pt>
                <c:pt idx="16">
                  <c:v>5263</c:v>
                </c:pt>
                <c:pt idx="17">
                  <c:v>5721</c:v>
                </c:pt>
                <c:pt idx="18">
                  <c:v>5731</c:v>
                </c:pt>
                <c:pt idx="19">
                  <c:v>5825.5</c:v>
                </c:pt>
                <c:pt idx="20">
                  <c:v>7165</c:v>
                </c:pt>
                <c:pt idx="21">
                  <c:v>7301</c:v>
                </c:pt>
                <c:pt idx="22">
                  <c:v>10894</c:v>
                </c:pt>
                <c:pt idx="23">
                  <c:v>11352</c:v>
                </c:pt>
                <c:pt idx="24">
                  <c:v>11393.5</c:v>
                </c:pt>
              </c:numCache>
            </c:numRef>
          </c:xVal>
          <c:yVal>
            <c:numRef>
              <c:f>'A (old)'!$O$21:$O$45</c:f>
              <c:numCache>
                <c:formatCode>General</c:formatCode>
                <c:ptCount val="25"/>
                <c:pt idx="0">
                  <c:v>1.0107824203527255E-2</c:v>
                </c:pt>
                <c:pt idx="1">
                  <c:v>7.9015609374656973E-3</c:v>
                </c:pt>
                <c:pt idx="2">
                  <c:v>9.413440874289105E-3</c:v>
                </c:pt>
                <c:pt idx="3">
                  <c:v>1.011485051966121E-2</c:v>
                </c:pt>
                <c:pt idx="4">
                  <c:v>1.0127070199894173E-2</c:v>
                </c:pt>
                <c:pt idx="5">
                  <c:v>1.1653919245002961E-2</c:v>
                </c:pt>
                <c:pt idx="6">
                  <c:v>1.1957272806786278E-2</c:v>
                </c:pt>
                <c:pt idx="7">
                  <c:v>1.2295757949239367E-2</c:v>
                </c:pt>
                <c:pt idx="8">
                  <c:v>1.2297590901274313E-2</c:v>
                </c:pt>
                <c:pt idx="9">
                  <c:v>1.296570191801159E-2</c:v>
                </c:pt>
                <c:pt idx="10">
                  <c:v>1.2966618394029062E-2</c:v>
                </c:pt>
                <c:pt idx="11">
                  <c:v>1.2986780866413453E-2</c:v>
                </c:pt>
                <c:pt idx="12">
                  <c:v>1.3005110386762898E-2</c:v>
                </c:pt>
                <c:pt idx="13">
                  <c:v>1.3252558911480408E-2</c:v>
                </c:pt>
                <c:pt idx="14">
                  <c:v>1.3291050904214244E-2</c:v>
                </c:pt>
                <c:pt idx="15">
                  <c:v>1.3317323216715115E-2</c:v>
                </c:pt>
                <c:pt idx="16">
                  <c:v>1.3323433056831598E-2</c:v>
                </c:pt>
                <c:pt idx="17">
                  <c:v>1.3603263734166461E-2</c:v>
                </c:pt>
                <c:pt idx="18">
                  <c:v>1.3609373574282942E-2</c:v>
                </c:pt>
                <c:pt idx="19">
                  <c:v>1.3667111563383695E-2</c:v>
                </c:pt>
                <c:pt idx="20">
                  <c:v>1.4485524646986424E-2</c:v>
                </c:pt>
                <c:pt idx="21">
                  <c:v>1.4568618472570575E-2</c:v>
                </c:pt>
                <c:pt idx="22">
                  <c:v>1.6763884026422465E-2</c:v>
                </c:pt>
                <c:pt idx="23">
                  <c:v>1.7043714703757332E-2</c:v>
                </c:pt>
                <c:pt idx="24">
                  <c:v>1.7069070540240729E-2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33-4BEE-9803-33D41695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803944"/>
        <c:axId val="1"/>
      </c:scatterChart>
      <c:valAx>
        <c:axId val="625803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344889253573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8039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02004008016032E-2"/>
          <c:y val="0.9088076726258274"/>
          <c:w val="0.95591266522546403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BH UMa - O-C Diagr.</a:t>
            </a:r>
          </a:p>
        </c:rich>
      </c:tx>
      <c:layout>
        <c:manualLayout>
          <c:xMode val="edge"/>
          <c:yMode val="edge"/>
          <c:x val="0.33066174343437532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079815959865"/>
          <c:y val="0.23584978088695488"/>
          <c:w val="0.77555186109705843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B!$H$21:$H$45</c:f>
              <c:numCache>
                <c:formatCode>General</c:formatCode>
                <c:ptCount val="25"/>
                <c:pt idx="2">
                  <c:v>-0.34934169999905862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4C-4502-BCD4-01EC51A8ECF7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B!$I$21:$I$45</c:f>
              <c:numCache>
                <c:formatCode>General</c:formatCode>
                <c:ptCount val="25"/>
                <c:pt idx="0">
                  <c:v>-0.6739259999958449</c:v>
                </c:pt>
                <c:pt idx="1">
                  <c:v>-0.32565759999852162</c:v>
                </c:pt>
                <c:pt idx="3">
                  <c:v>-0.35120079999614973</c:v>
                </c:pt>
                <c:pt idx="4">
                  <c:v>-0.34086879999813391</c:v>
                </c:pt>
                <c:pt idx="5">
                  <c:v>7.6563000038731843E-3</c:v>
                </c:pt>
                <c:pt idx="6">
                  <c:v>1.334820000192849E-2</c:v>
                </c:pt>
                <c:pt idx="7">
                  <c:v>2.5744599995960016E-2</c:v>
                </c:pt>
                <c:pt idx="8">
                  <c:v>-1.3055999952484854E-3</c:v>
                </c:pt>
                <c:pt idx="9">
                  <c:v>0.25273820000438718</c:v>
                </c:pt>
                <c:pt idx="10">
                  <c:v>0.23771309999574441</c:v>
                </c:pt>
                <c:pt idx="11">
                  <c:v>0.23116090000257827</c:v>
                </c:pt>
                <c:pt idx="12">
                  <c:v>0.24565889999939827</c:v>
                </c:pt>
                <c:pt idx="13">
                  <c:v>0.25288189999992028</c:v>
                </c:pt>
                <c:pt idx="14">
                  <c:v>0.23982770000293385</c:v>
                </c:pt>
                <c:pt idx="15">
                  <c:v>0.23844150000513764</c:v>
                </c:pt>
                <c:pt idx="16">
                  <c:v>0.2336074999984703</c:v>
                </c:pt>
                <c:pt idx="17">
                  <c:v>0.2266103000001749</c:v>
                </c:pt>
                <c:pt idx="18">
                  <c:v>0.24077630000101635</c:v>
                </c:pt>
                <c:pt idx="19">
                  <c:v>0.24819500000739936</c:v>
                </c:pt>
                <c:pt idx="20">
                  <c:v>0.3437807000009343</c:v>
                </c:pt>
                <c:pt idx="21">
                  <c:v>0.35283830000116723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4C-4502-BCD4-01EC51A8ECF7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B!$J$21:$J$45</c:f>
              <c:numCache>
                <c:formatCode>General</c:formatCode>
                <c:ptCount val="25"/>
                <c:pt idx="22">
                  <c:v>0.70072380000056</c:v>
                </c:pt>
                <c:pt idx="23">
                  <c:v>0.73772660000395263</c:v>
                </c:pt>
                <c:pt idx="24">
                  <c:v>0.73496549999981653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4C-4502-BCD4-01EC51A8ECF7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B!$K$21:$K$45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4C-4502-BCD4-01EC51A8ECF7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B!$L$21:$L$45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4C-4502-BCD4-01EC51A8ECF7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B!$M$21:$M$45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4C-4502-BCD4-01EC51A8ECF7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B!$N$21:$N$45</c:f>
              <c:numCache>
                <c:formatCode>General</c:formatCode>
                <c:ptCount val="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4C-4502-BCD4-01EC51A8ECF7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B!$F$21:$F$45</c:f>
              <c:numCache>
                <c:formatCode>General</c:formatCode>
                <c:ptCount val="25"/>
                <c:pt idx="0">
                  <c:v>-3610</c:v>
                </c:pt>
                <c:pt idx="1">
                  <c:v>-1136</c:v>
                </c:pt>
                <c:pt idx="2">
                  <c:v>0.5</c:v>
                </c:pt>
                <c:pt idx="3">
                  <c:v>12</c:v>
                </c:pt>
                <c:pt idx="4">
                  <c:v>32</c:v>
                </c:pt>
                <c:pt idx="5">
                  <c:v>2530.5</c:v>
                </c:pt>
                <c:pt idx="6">
                  <c:v>3027</c:v>
                </c:pt>
                <c:pt idx="7">
                  <c:v>3581</c:v>
                </c:pt>
                <c:pt idx="8">
                  <c:v>3584</c:v>
                </c:pt>
                <c:pt idx="9">
                  <c:v>4677</c:v>
                </c:pt>
                <c:pt idx="10">
                  <c:v>4678.5</c:v>
                </c:pt>
                <c:pt idx="11">
                  <c:v>4711.5</c:v>
                </c:pt>
                <c:pt idx="12">
                  <c:v>4741.5</c:v>
                </c:pt>
                <c:pt idx="13">
                  <c:v>5146.5</c:v>
                </c:pt>
                <c:pt idx="14">
                  <c:v>5209.5</c:v>
                </c:pt>
                <c:pt idx="15">
                  <c:v>5252.5</c:v>
                </c:pt>
                <c:pt idx="16">
                  <c:v>5262.5</c:v>
                </c:pt>
                <c:pt idx="17">
                  <c:v>5720.5</c:v>
                </c:pt>
                <c:pt idx="18">
                  <c:v>5730.5</c:v>
                </c:pt>
                <c:pt idx="19">
                  <c:v>5825</c:v>
                </c:pt>
                <c:pt idx="20">
                  <c:v>7164.5</c:v>
                </c:pt>
                <c:pt idx="21">
                  <c:v>7300.5</c:v>
                </c:pt>
                <c:pt idx="22">
                  <c:v>10893</c:v>
                </c:pt>
                <c:pt idx="23">
                  <c:v>11351</c:v>
                </c:pt>
                <c:pt idx="24">
                  <c:v>11392.5</c:v>
                </c:pt>
              </c:numCache>
            </c:numRef>
          </c:xVal>
          <c:yVal>
            <c:numRef>
              <c:f>B!$O$21:$O$45</c:f>
              <c:numCache>
                <c:formatCode>General</c:formatCode>
                <c:ptCount val="25"/>
                <c:pt idx="0">
                  <c:v>-0.62756254471438355</c:v>
                </c:pt>
                <c:pt idx="1">
                  <c:v>-0.40225724302195798</c:v>
                </c:pt>
                <c:pt idx="2">
                  <c:v>-0.29875705087424514</c:v>
                </c:pt>
                <c:pt idx="3">
                  <c:v>-0.29770975460526256</c:v>
                </c:pt>
                <c:pt idx="4">
                  <c:v>-0.29588836978964067</c:v>
                </c:pt>
                <c:pt idx="5">
                  <c:v>-6.8351871698078326E-2</c:v>
                </c:pt>
                <c:pt idx="6">
                  <c:v>-2.3135993650265363E-2</c:v>
                </c:pt>
                <c:pt idx="7">
                  <c:v>2.7316365742460491E-2</c:v>
                </c:pt>
                <c:pt idx="8">
                  <c:v>2.7589573464803785E-2</c:v>
                </c:pt>
                <c:pt idx="9">
                  <c:v>0.12712825363853908</c:v>
                </c:pt>
                <c:pt idx="10">
                  <c:v>0.12726485749971073</c:v>
                </c:pt>
                <c:pt idx="11">
                  <c:v>0.13027014244548679</c:v>
                </c:pt>
                <c:pt idx="12">
                  <c:v>0.13300221966891962</c:v>
                </c:pt>
                <c:pt idx="13">
                  <c:v>0.16988526218526251</c:v>
                </c:pt>
                <c:pt idx="14">
                  <c:v>0.1756226243544714</c:v>
                </c:pt>
                <c:pt idx="15">
                  <c:v>0.17953860170805841</c:v>
                </c:pt>
                <c:pt idx="16">
                  <c:v>0.18044929411586935</c:v>
                </c:pt>
                <c:pt idx="17">
                  <c:v>0.22215900639361019</c:v>
                </c:pt>
                <c:pt idx="18">
                  <c:v>0.22306969880142113</c:v>
                </c:pt>
                <c:pt idx="19">
                  <c:v>0.23167574205523456</c:v>
                </c:pt>
                <c:pt idx="20">
                  <c:v>0.35366299008150937</c:v>
                </c:pt>
                <c:pt idx="21">
                  <c:v>0.36604840682773809</c:v>
                </c:pt>
                <c:pt idx="22">
                  <c:v>0.6932146543338169</c:v>
                </c:pt>
                <c:pt idx="23">
                  <c:v>0.73492436661155769</c:v>
                </c:pt>
                <c:pt idx="24">
                  <c:v>0.73870374010397311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4C-4502-BCD4-01EC51A8E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799984"/>
        <c:axId val="1"/>
      </c:scatterChart>
      <c:valAx>
        <c:axId val="625799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10224648772611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0120240480961921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57999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002004008016032E-2"/>
          <c:y val="0.9088076726258274"/>
          <c:w val="0.95591266522546403"/>
          <c:h val="0.971701084534244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19</xdr:col>
      <xdr:colOff>123825</xdr:colOff>
      <xdr:row>18</xdr:row>
      <xdr:rowOff>104775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B599851D-0F32-186C-B62F-9CF0BF654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27D316D-944D-AC7A-46A0-F02C88F59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F75CBAA8-3371-BE51-B2F0-7E13258C3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bav-astro.de/sfs/BAVM_link.php?BAVMnr=220" TargetMode="External"/><Relationship Id="rId12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konkoly.hu/cgi-bin/IBVS?5493" TargetMode="External"/><Relationship Id="rId1" Type="http://schemas.openxmlformats.org/officeDocument/2006/relationships/hyperlink" Target="http://www.konkoly.hu/cgi-bin/IBVS?5502" TargetMode="External"/><Relationship Id="rId6" Type="http://schemas.openxmlformats.org/officeDocument/2006/relationships/hyperlink" Target="http://www.konkoly.hu/cgi-bin/IBVS?5992" TargetMode="External"/><Relationship Id="rId11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www.bav-astro.de/sfs/BAVM_link.php?BAVMnr=201" TargetMode="External"/><Relationship Id="rId10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201" TargetMode="External"/><Relationship Id="rId9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workbookViewId="0">
      <pane ySplit="20" topLeftCell="A57" activePane="bottomLeft" state="frozen"/>
      <selection pane="bottomLeft" activeCell="F10" sqref="F10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1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208</v>
      </c>
      <c r="E1" s="1" t="s">
        <v>209</v>
      </c>
    </row>
    <row r="2" spans="1:6">
      <c r="A2" s="1" t="s">
        <v>2</v>
      </c>
      <c r="B2" s="1" t="s">
        <v>210</v>
      </c>
    </row>
    <row r="3" spans="1:6">
      <c r="C3" s="31" t="s">
        <v>211</v>
      </c>
      <c r="D3" s="32"/>
      <c r="E3" s="32"/>
    </row>
    <row r="4" spans="1:6">
      <c r="A4" s="4" t="s">
        <v>3</v>
      </c>
      <c r="C4" s="5">
        <v>45093.347999999998</v>
      </c>
      <c r="D4" s="6">
        <v>0.69868339999999995</v>
      </c>
      <c r="E4" s="33" t="s">
        <v>212</v>
      </c>
    </row>
    <row r="5" spans="1:6">
      <c r="A5" s="34" t="s">
        <v>213</v>
      </c>
      <c r="B5"/>
      <c r="C5" s="35">
        <v>-9.5</v>
      </c>
      <c r="D5" t="s">
        <v>214</v>
      </c>
    </row>
    <row r="6" spans="1:6">
      <c r="A6" s="4" t="s">
        <v>4</v>
      </c>
    </row>
    <row r="7" spans="1:6">
      <c r="A7" s="1" t="s">
        <v>5</v>
      </c>
      <c r="C7" s="1">
        <v>45093.697379999998</v>
      </c>
    </row>
    <row r="8" spans="1:6">
      <c r="A8" s="1" t="s">
        <v>6</v>
      </c>
      <c r="C8" s="1">
        <v>0.69876000000000005</v>
      </c>
    </row>
    <row r="9" spans="1:6">
      <c r="A9" s="36" t="s">
        <v>215</v>
      </c>
      <c r="B9" s="37">
        <v>58</v>
      </c>
      <c r="C9" s="38" t="str">
        <f>"F"&amp;B9</f>
        <v>F58</v>
      </c>
      <c r="D9" s="11" t="str">
        <f>"G"&amp;B9</f>
        <v>G58</v>
      </c>
    </row>
    <row r="10" spans="1:6">
      <c r="A10"/>
      <c r="B10"/>
      <c r="C10" s="7" t="s">
        <v>7</v>
      </c>
      <c r="D10" s="7" t="s">
        <v>8</v>
      </c>
      <c r="E10"/>
    </row>
    <row r="11" spans="1:6">
      <c r="A11" t="s">
        <v>9</v>
      </c>
      <c r="B11"/>
      <c r="C11" s="39">
        <f ca="1">INTERCEPT(INDIRECT($D$9):G987,INDIRECT($C$9):F987)</f>
        <v>8.3527307130000228E-3</v>
      </c>
      <c r="D11" s="8"/>
      <c r="E11"/>
    </row>
    <row r="12" spans="1:6">
      <c r="A12" t="s">
        <v>10</v>
      </c>
      <c r="B12"/>
      <c r="C12" s="39">
        <f ca="1">SLOPE(INDIRECT($D$9):G987,INDIRECT($C$9):F987)</f>
        <v>-3.472228962028189E-5</v>
      </c>
      <c r="D12" s="8"/>
      <c r="E12"/>
    </row>
    <row r="13" spans="1:6">
      <c r="A13" t="s">
        <v>11</v>
      </c>
      <c r="B13"/>
      <c r="C13" s="8" t="s">
        <v>12</v>
      </c>
    </row>
    <row r="14" spans="1:6">
      <c r="A14"/>
      <c r="B14"/>
      <c r="C14"/>
    </row>
    <row r="15" spans="1:6">
      <c r="A15" s="40" t="s">
        <v>14</v>
      </c>
      <c r="B15"/>
      <c r="C15" s="41">
        <f ca="1">(C7+C11)+(C8+C12)*INT(MAX(F21:F3528))</f>
        <v>59750.16715798364</v>
      </c>
      <c r="E15" s="42" t="s">
        <v>216</v>
      </c>
      <c r="F15" s="35">
        <v>1</v>
      </c>
    </row>
    <row r="16" spans="1:6">
      <c r="A16" s="40" t="s">
        <v>15</v>
      </c>
      <c r="B16"/>
      <c r="C16" s="41">
        <f ca="1">+C8+C12</f>
        <v>0.69872527771037973</v>
      </c>
      <c r="E16" s="42" t="s">
        <v>217</v>
      </c>
      <c r="F16" s="39">
        <f ca="1">NOW()+15018.5+$C$5/24</f>
        <v>60173.843233217587</v>
      </c>
    </row>
    <row r="17" spans="1:31">
      <c r="A17" s="42" t="s">
        <v>218</v>
      </c>
      <c r="B17"/>
      <c r="C17">
        <f>COUNT(C21:C2186)</f>
        <v>49</v>
      </c>
      <c r="E17" s="42" t="s">
        <v>219</v>
      </c>
      <c r="F17" s="39">
        <f ca="1">ROUND(2*(F16-$C$7)/$C$8,0)/2+F15</f>
        <v>21582.5</v>
      </c>
    </row>
    <row r="18" spans="1:31">
      <c r="A18" s="40" t="s">
        <v>16</v>
      </c>
      <c r="B18"/>
      <c r="C18" s="43">
        <f ca="1">+C15</f>
        <v>59750.16715798364</v>
      </c>
      <c r="D18" s="44">
        <f ca="1">+C16</f>
        <v>0.69872527771037973</v>
      </c>
      <c r="E18" s="42" t="s">
        <v>220</v>
      </c>
      <c r="F18" s="11">
        <f ca="1">ROUND(2*(F16-$C$15)/$C$16,0)/2+F15</f>
        <v>607.5</v>
      </c>
    </row>
    <row r="19" spans="1:31">
      <c r="E19" s="42" t="s">
        <v>221</v>
      </c>
      <c r="F19" s="45">
        <f ca="1">+$C$15+$C$16*F18-15018.5-$C$5/24</f>
        <v>45156.538597526029</v>
      </c>
    </row>
    <row r="20" spans="1:31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64</v>
      </c>
      <c r="I20" s="9" t="s">
        <v>67</v>
      </c>
      <c r="J20" s="9" t="s">
        <v>61</v>
      </c>
      <c r="K20" s="9" t="s">
        <v>59</v>
      </c>
      <c r="L20" s="9" t="s">
        <v>222</v>
      </c>
      <c r="M20" s="9" t="s">
        <v>223</v>
      </c>
      <c r="N20" s="9" t="s">
        <v>224</v>
      </c>
      <c r="O20" s="9" t="s">
        <v>225</v>
      </c>
      <c r="P20" s="9" t="s">
        <v>226</v>
      </c>
      <c r="Q20" s="7" t="s">
        <v>33</v>
      </c>
    </row>
    <row r="21" spans="1:31">
      <c r="A21" s="1" t="s">
        <v>34</v>
      </c>
      <c r="C21" s="46">
        <v>42570.427000000003</v>
      </c>
      <c r="D21" s="46"/>
      <c r="E21" s="1">
        <f t="shared" ref="E21:E63" si="0">+(C21-C$7)/C$8</f>
        <v>-3611.0687217356381</v>
      </c>
      <c r="F21" s="15">
        <f>ROUND(2*E21,0)/2-1</f>
        <v>-3612</v>
      </c>
      <c r="G21" s="1">
        <f t="shared" ref="G21:G63" si="1">+C21-(C$7+F21*C$8)</f>
        <v>0.65074000000458909</v>
      </c>
      <c r="I21" s="1">
        <f>G21</f>
        <v>0.65074000000458909</v>
      </c>
      <c r="O21" s="1">
        <f t="shared" ref="O21:O63" ca="1" si="2">+C$11+C$12*F21</f>
        <v>0.1337696408214582</v>
      </c>
      <c r="Q21" s="10">
        <f t="shared" ref="Q21:Q63" si="3">+C21-15018.5</f>
        <v>27551.927000000003</v>
      </c>
      <c r="AA21" s="1">
        <v>5</v>
      </c>
      <c r="AC21" s="1" t="s">
        <v>35</v>
      </c>
      <c r="AE21" s="1" t="s">
        <v>36</v>
      </c>
    </row>
    <row r="22" spans="1:31">
      <c r="A22" s="1" t="s">
        <v>37</v>
      </c>
      <c r="B22" s="8" t="s">
        <v>38</v>
      </c>
      <c r="C22" s="46">
        <v>44299.317999999999</v>
      </c>
      <c r="D22" s="46"/>
      <c r="E22" s="1">
        <f t="shared" si="0"/>
        <v>-1136.8415192626917</v>
      </c>
      <c r="F22" s="15">
        <f>ROUND(2*E22,0)/2-0.5</f>
        <v>-1137.5</v>
      </c>
      <c r="G22" s="1">
        <f t="shared" si="1"/>
        <v>0.46012000000337139</v>
      </c>
      <c r="I22" s="1">
        <f>G22</f>
        <v>0.46012000000337139</v>
      </c>
      <c r="O22" s="1">
        <f t="shared" ca="1" si="2"/>
        <v>4.784933515607067E-2</v>
      </c>
      <c r="Q22" s="10">
        <f t="shared" si="3"/>
        <v>29280.817999999999</v>
      </c>
      <c r="AA22" s="1">
        <v>9</v>
      </c>
      <c r="AC22" s="1" t="s">
        <v>35</v>
      </c>
      <c r="AE22" s="1" t="s">
        <v>36</v>
      </c>
    </row>
    <row r="23" spans="1:31">
      <c r="A23" s="1" t="s">
        <v>24</v>
      </c>
      <c r="C23" s="46">
        <v>45093.347999999998</v>
      </c>
      <c r="D23" s="46" t="s">
        <v>12</v>
      </c>
      <c r="E23" s="1">
        <f t="shared" si="0"/>
        <v>-0.49999999999950684</v>
      </c>
      <c r="F23" s="15">
        <f>ROUND(2*E23,0)/2-0.5</f>
        <v>-1</v>
      </c>
      <c r="G23" s="1">
        <f t="shared" si="1"/>
        <v>0.34937999999965541</v>
      </c>
      <c r="H23" s="1">
        <f>+G23</f>
        <v>0.34937999999965541</v>
      </c>
      <c r="O23" s="1">
        <f t="shared" ca="1" si="2"/>
        <v>8.3874530026203046E-3</v>
      </c>
      <c r="Q23" s="10">
        <f t="shared" si="3"/>
        <v>30074.847999999998</v>
      </c>
    </row>
    <row r="24" spans="1:31">
      <c r="A24" s="1" t="s">
        <v>39</v>
      </c>
      <c r="B24" s="8" t="s">
        <v>38</v>
      </c>
      <c r="C24" s="46">
        <v>45101.381000000001</v>
      </c>
      <c r="D24" s="46"/>
      <c r="E24" s="1">
        <f t="shared" si="0"/>
        <v>10.996078768108404</v>
      </c>
      <c r="F24" s="15">
        <f>ROUND(2*E24,0)/2-0.5</f>
        <v>10.5</v>
      </c>
      <c r="G24" s="1">
        <f t="shared" si="1"/>
        <v>0.34664000000339001</v>
      </c>
      <c r="I24" s="1">
        <f t="shared" ref="I24:I42" si="4">G24</f>
        <v>0.34664000000339001</v>
      </c>
      <c r="O24" s="1">
        <f t="shared" ca="1" si="2"/>
        <v>7.988146671987063E-3</v>
      </c>
      <c r="Q24" s="10">
        <f t="shared" si="3"/>
        <v>30082.881000000001</v>
      </c>
      <c r="AA24" s="1">
        <v>6</v>
      </c>
      <c r="AC24" s="1" t="s">
        <v>40</v>
      </c>
      <c r="AE24" s="1" t="s">
        <v>36</v>
      </c>
    </row>
    <row r="25" spans="1:31">
      <c r="A25" s="1" t="s">
        <v>39</v>
      </c>
      <c r="B25" s="8" t="s">
        <v>38</v>
      </c>
      <c r="C25" s="46">
        <v>45115.364999999998</v>
      </c>
      <c r="D25" s="46"/>
      <c r="E25" s="1">
        <f t="shared" si="0"/>
        <v>31.008672505581558</v>
      </c>
      <c r="F25" s="15">
        <f>ROUND(2*E25,0)/2-0.5</f>
        <v>30.5</v>
      </c>
      <c r="G25" s="1">
        <f t="shared" si="1"/>
        <v>0.35543999999936204</v>
      </c>
      <c r="I25" s="1">
        <f t="shared" si="4"/>
        <v>0.35543999999936204</v>
      </c>
      <c r="O25" s="1">
        <f t="shared" ca="1" si="2"/>
        <v>7.2937008795814252E-3</v>
      </c>
      <c r="Q25" s="10">
        <f t="shared" si="3"/>
        <v>30096.864999999998</v>
      </c>
      <c r="AA25" s="1">
        <v>6</v>
      </c>
      <c r="AC25" s="1" t="s">
        <v>40</v>
      </c>
      <c r="AE25" s="1" t="s">
        <v>36</v>
      </c>
    </row>
    <row r="26" spans="1:31">
      <c r="A26" s="1" t="s">
        <v>41</v>
      </c>
      <c r="B26" s="47" t="s">
        <v>38</v>
      </c>
      <c r="C26" s="46">
        <v>46861.374000000003</v>
      </c>
      <c r="D26" s="46"/>
      <c r="E26" s="1">
        <f t="shared" si="0"/>
        <v>2529.7335565859603</v>
      </c>
      <c r="F26" s="1">
        <f t="shared" ref="F26:F37" si="5">ROUND(2*E26,0)/2</f>
        <v>2529.5</v>
      </c>
      <c r="G26" s="1">
        <f t="shared" si="1"/>
        <v>0.16320000000268919</v>
      </c>
      <c r="I26" s="1">
        <f t="shared" si="4"/>
        <v>0.16320000000268919</v>
      </c>
      <c r="O26" s="1">
        <f t="shared" ca="1" si="2"/>
        <v>-7.947730088150301E-2</v>
      </c>
      <c r="Q26" s="10">
        <f t="shared" si="3"/>
        <v>31842.874000000003</v>
      </c>
      <c r="AA26" s="1">
        <v>8</v>
      </c>
      <c r="AC26" s="1" t="s">
        <v>42</v>
      </c>
      <c r="AE26" s="1" t="s">
        <v>36</v>
      </c>
    </row>
    <row r="27" spans="1:31">
      <c r="A27" s="1" t="s">
        <v>43</v>
      </c>
      <c r="B27" s="47"/>
      <c r="C27" s="46">
        <v>47208.275999999998</v>
      </c>
      <c r="D27" s="46"/>
      <c r="E27" s="1">
        <f t="shared" si="0"/>
        <v>3026.1872746007216</v>
      </c>
      <c r="F27" s="1">
        <f t="shared" si="5"/>
        <v>3026</v>
      </c>
      <c r="G27" s="1">
        <f t="shared" si="1"/>
        <v>0.1308599999974831</v>
      </c>
      <c r="I27" s="1">
        <f t="shared" si="4"/>
        <v>0.1308599999974831</v>
      </c>
      <c r="O27" s="1">
        <f t="shared" ca="1" si="2"/>
        <v>-9.6716917677972969E-2</v>
      </c>
      <c r="Q27" s="10">
        <f t="shared" si="3"/>
        <v>32189.775999999998</v>
      </c>
      <c r="AA27" s="1">
        <v>8</v>
      </c>
      <c r="AC27" s="1" t="s">
        <v>40</v>
      </c>
      <c r="AE27" s="1" t="s">
        <v>36</v>
      </c>
    </row>
    <row r="28" spans="1:31">
      <c r="A28" s="1" t="s">
        <v>44</v>
      </c>
      <c r="B28" s="47"/>
      <c r="C28" s="46">
        <v>47595.358999999997</v>
      </c>
      <c r="D28" s="46"/>
      <c r="E28" s="1">
        <f t="shared" si="0"/>
        <v>3580.1442841605112</v>
      </c>
      <c r="F28" s="1">
        <f t="shared" si="5"/>
        <v>3580</v>
      </c>
      <c r="G28" s="1">
        <f t="shared" si="1"/>
        <v>0.10081999999965774</v>
      </c>
      <c r="I28" s="1">
        <f t="shared" si="4"/>
        <v>0.10081999999965774</v>
      </c>
      <c r="O28" s="1">
        <f t="shared" ca="1" si="2"/>
        <v>-0.11595306612760914</v>
      </c>
      <c r="Q28" s="10">
        <f t="shared" si="3"/>
        <v>32576.858999999997</v>
      </c>
      <c r="AA28" s="1">
        <v>7</v>
      </c>
      <c r="AC28" s="1" t="s">
        <v>45</v>
      </c>
      <c r="AE28" s="1" t="s">
        <v>36</v>
      </c>
    </row>
    <row r="29" spans="1:31">
      <c r="A29" s="1" t="s">
        <v>44</v>
      </c>
      <c r="B29" s="47"/>
      <c r="C29" s="46">
        <v>47597.428</v>
      </c>
      <c r="D29" s="46"/>
      <c r="E29" s="1">
        <f t="shared" si="0"/>
        <v>3583.1052435743345</v>
      </c>
      <c r="F29" s="1">
        <f t="shared" si="5"/>
        <v>3583</v>
      </c>
      <c r="G29" s="1">
        <f t="shared" si="1"/>
        <v>7.3540000004868489E-2</v>
      </c>
      <c r="I29" s="1">
        <f t="shared" si="4"/>
        <v>7.3540000004868489E-2</v>
      </c>
      <c r="O29" s="1">
        <f t="shared" ca="1" si="2"/>
        <v>-0.11605723299646999</v>
      </c>
      <c r="Q29" s="10">
        <f t="shared" si="3"/>
        <v>32578.928</v>
      </c>
      <c r="AA29" s="1">
        <v>8</v>
      </c>
      <c r="AC29" s="1" t="s">
        <v>45</v>
      </c>
      <c r="AE29" s="1" t="s">
        <v>36</v>
      </c>
    </row>
    <row r="30" spans="1:31">
      <c r="A30" s="1" t="s">
        <v>46</v>
      </c>
      <c r="B30" s="47" t="s">
        <v>38</v>
      </c>
      <c r="C30" s="46">
        <v>48361.343000000001</v>
      </c>
      <c r="D30" s="46"/>
      <c r="E30" s="1">
        <f t="shared" si="0"/>
        <v>4676.3489896387928</v>
      </c>
      <c r="F30" s="1">
        <f t="shared" si="5"/>
        <v>4676.5</v>
      </c>
      <c r="G30" s="1">
        <f t="shared" si="1"/>
        <v>-0.10551999999734107</v>
      </c>
      <c r="I30" s="1">
        <f t="shared" si="4"/>
        <v>-0.10551999999734107</v>
      </c>
      <c r="O30" s="1">
        <f t="shared" ca="1" si="2"/>
        <v>-0.15402605669624822</v>
      </c>
      <c r="Q30" s="10">
        <f t="shared" si="3"/>
        <v>33342.843000000001</v>
      </c>
      <c r="AA30" s="1">
        <v>8</v>
      </c>
      <c r="AC30" s="1" t="s">
        <v>45</v>
      </c>
      <c r="AE30" s="1" t="s">
        <v>36</v>
      </c>
    </row>
    <row r="31" spans="1:31">
      <c r="A31" s="1" t="s">
        <v>46</v>
      </c>
      <c r="B31" s="8"/>
      <c r="C31" s="46">
        <v>48362.375999999997</v>
      </c>
      <c r="D31" s="46"/>
      <c r="E31" s="1">
        <f t="shared" si="0"/>
        <v>4677.8273226858983</v>
      </c>
      <c r="F31" s="1">
        <f t="shared" si="5"/>
        <v>4678</v>
      </c>
      <c r="G31" s="1">
        <f t="shared" si="1"/>
        <v>-0.12066000000049826</v>
      </c>
      <c r="I31" s="1">
        <f t="shared" si="4"/>
        <v>-0.12066000000049826</v>
      </c>
      <c r="O31" s="1">
        <f t="shared" ca="1" si="2"/>
        <v>-0.15407814013067866</v>
      </c>
      <c r="Q31" s="10">
        <f t="shared" si="3"/>
        <v>33343.875999999997</v>
      </c>
      <c r="AA31" s="1">
        <v>8</v>
      </c>
      <c r="AC31" s="1" t="s">
        <v>45</v>
      </c>
      <c r="AE31" s="1" t="s">
        <v>36</v>
      </c>
    </row>
    <row r="32" spans="1:31">
      <c r="A32" s="1" t="s">
        <v>47</v>
      </c>
      <c r="B32" s="8"/>
      <c r="C32" s="46">
        <v>48385.425999999999</v>
      </c>
      <c r="D32" s="46">
        <v>4.0000000000000001E-3</v>
      </c>
      <c r="E32" s="1">
        <f t="shared" si="0"/>
        <v>4710.8143282385963</v>
      </c>
      <c r="F32" s="1">
        <f t="shared" si="5"/>
        <v>4711</v>
      </c>
      <c r="G32" s="1">
        <f t="shared" si="1"/>
        <v>-0.12973999999667285</v>
      </c>
      <c r="I32" s="1">
        <f t="shared" si="4"/>
        <v>-0.12973999999667285</v>
      </c>
      <c r="O32" s="1">
        <f t="shared" ca="1" si="2"/>
        <v>-0.15522397568814797</v>
      </c>
      <c r="Q32" s="10">
        <f t="shared" si="3"/>
        <v>33366.925999999999</v>
      </c>
      <c r="AA32" s="1">
        <v>12</v>
      </c>
      <c r="AC32" s="1" t="s">
        <v>45</v>
      </c>
      <c r="AE32" s="1" t="s">
        <v>36</v>
      </c>
    </row>
    <row r="33" spans="1:31">
      <c r="A33" s="1" t="s">
        <v>47</v>
      </c>
      <c r="B33" s="8"/>
      <c r="C33" s="46">
        <v>48406.400999999998</v>
      </c>
      <c r="D33" s="46">
        <v>3.0000000000000001E-3</v>
      </c>
      <c r="E33" s="1">
        <f t="shared" si="0"/>
        <v>4740.8317877382797</v>
      </c>
      <c r="F33" s="1">
        <f t="shared" si="5"/>
        <v>4741</v>
      </c>
      <c r="G33" s="1">
        <f t="shared" si="1"/>
        <v>-0.11753999999928055</v>
      </c>
      <c r="I33" s="1">
        <f t="shared" si="4"/>
        <v>-0.11753999999928055</v>
      </c>
      <c r="O33" s="1">
        <f t="shared" ca="1" si="2"/>
        <v>-0.15626564437675641</v>
      </c>
      <c r="Q33" s="10">
        <f t="shared" si="3"/>
        <v>33387.900999999998</v>
      </c>
      <c r="AA33" s="1">
        <v>7</v>
      </c>
      <c r="AC33" s="1" t="s">
        <v>45</v>
      </c>
      <c r="AE33" s="1" t="s">
        <v>36</v>
      </c>
    </row>
    <row r="34" spans="1:31">
      <c r="A34" s="1" t="s">
        <v>48</v>
      </c>
      <c r="B34" s="8"/>
      <c r="C34" s="46">
        <v>48689.375</v>
      </c>
      <c r="D34" s="46">
        <v>8.0000000000000002E-3</v>
      </c>
      <c r="E34" s="1">
        <f t="shared" si="0"/>
        <v>5145.7977274028308</v>
      </c>
      <c r="F34" s="1">
        <f t="shared" si="5"/>
        <v>5146</v>
      </c>
      <c r="G34" s="1">
        <f t="shared" si="1"/>
        <v>-0.14133999999467051</v>
      </c>
      <c r="I34" s="1">
        <f t="shared" si="4"/>
        <v>-0.14133999999467051</v>
      </c>
      <c r="O34" s="1">
        <f t="shared" ca="1" si="2"/>
        <v>-0.17032817167297057</v>
      </c>
      <c r="Q34" s="10">
        <f t="shared" si="3"/>
        <v>33670.875</v>
      </c>
      <c r="AA34" s="1">
        <v>11</v>
      </c>
      <c r="AC34" s="1" t="s">
        <v>45</v>
      </c>
      <c r="AE34" s="1" t="s">
        <v>36</v>
      </c>
    </row>
    <row r="35" spans="1:31">
      <c r="A35" s="1" t="s">
        <v>48</v>
      </c>
      <c r="B35" s="8"/>
      <c r="C35" s="46">
        <v>48733.379000000001</v>
      </c>
      <c r="D35" s="46">
        <v>6.0000000000000001E-3</v>
      </c>
      <c r="E35" s="1">
        <f t="shared" si="0"/>
        <v>5208.7721392180474</v>
      </c>
      <c r="F35" s="1">
        <f t="shared" si="5"/>
        <v>5209</v>
      </c>
      <c r="G35" s="1">
        <f t="shared" si="1"/>
        <v>-0.15921999999409309</v>
      </c>
      <c r="I35" s="1">
        <f t="shared" si="4"/>
        <v>-0.15921999999409309</v>
      </c>
      <c r="O35" s="1">
        <f t="shared" ca="1" si="2"/>
        <v>-0.17251567591904834</v>
      </c>
      <c r="Q35" s="10">
        <f t="shared" si="3"/>
        <v>33714.879000000001</v>
      </c>
      <c r="AA35" s="1">
        <v>9</v>
      </c>
      <c r="AC35" s="1" t="s">
        <v>45</v>
      </c>
      <c r="AE35" s="1" t="s">
        <v>36</v>
      </c>
    </row>
    <row r="36" spans="1:31">
      <c r="A36" s="1" t="s">
        <v>48</v>
      </c>
      <c r="B36" s="8"/>
      <c r="C36" s="46">
        <v>48763.421000000002</v>
      </c>
      <c r="D36" s="46">
        <v>6.0000000000000001E-3</v>
      </c>
      <c r="E36" s="1">
        <f t="shared" si="0"/>
        <v>5251.7654416394817</v>
      </c>
      <c r="F36" s="1">
        <f t="shared" si="5"/>
        <v>5252</v>
      </c>
      <c r="G36" s="1">
        <f t="shared" si="1"/>
        <v>-0.16389999999955762</v>
      </c>
      <c r="I36" s="1">
        <f t="shared" si="4"/>
        <v>-0.16389999999955762</v>
      </c>
      <c r="O36" s="1">
        <f t="shared" ca="1" si="2"/>
        <v>-0.17400873437272046</v>
      </c>
      <c r="Q36" s="10">
        <f t="shared" si="3"/>
        <v>33744.921000000002</v>
      </c>
      <c r="AA36" s="1">
        <v>8</v>
      </c>
      <c r="AC36" s="1" t="s">
        <v>45</v>
      </c>
      <c r="AE36" s="1" t="s">
        <v>36</v>
      </c>
    </row>
    <row r="37" spans="1:31">
      <c r="A37" s="1" t="s">
        <v>48</v>
      </c>
      <c r="B37" s="8"/>
      <c r="C37" s="46">
        <v>48770.402999999998</v>
      </c>
      <c r="D37" s="46">
        <v>6.0000000000000001E-3</v>
      </c>
      <c r="E37" s="1">
        <f t="shared" si="0"/>
        <v>5261.7574274428998</v>
      </c>
      <c r="F37" s="1">
        <f t="shared" si="5"/>
        <v>5262</v>
      </c>
      <c r="G37" s="1">
        <f t="shared" si="1"/>
        <v>-0.16949999999633292</v>
      </c>
      <c r="I37" s="1">
        <f t="shared" si="4"/>
        <v>-0.16949999999633292</v>
      </c>
      <c r="O37" s="1">
        <f t="shared" ca="1" si="2"/>
        <v>-0.17435595726892328</v>
      </c>
      <c r="Q37" s="10">
        <f t="shared" si="3"/>
        <v>33751.902999999998</v>
      </c>
      <c r="AA37" s="1">
        <v>10</v>
      </c>
      <c r="AC37" s="1" t="s">
        <v>45</v>
      </c>
      <c r="AE37" s="1" t="s">
        <v>36</v>
      </c>
    </row>
    <row r="38" spans="1:31">
      <c r="A38" s="1" t="s">
        <v>49</v>
      </c>
      <c r="B38" s="8"/>
      <c r="C38" s="46">
        <v>49090.392999999996</v>
      </c>
      <c r="D38" s="46">
        <v>8.0000000000000002E-3</v>
      </c>
      <c r="E38" s="1">
        <f t="shared" si="0"/>
        <v>5719.6972064800484</v>
      </c>
      <c r="F38" s="11">
        <f t="shared" ref="F38:F60" si="6">ROUND(2*E38,0)/2+0.5</f>
        <v>5720</v>
      </c>
      <c r="G38" s="1">
        <f t="shared" si="1"/>
        <v>-0.21158000000286847</v>
      </c>
      <c r="I38" s="1">
        <f t="shared" si="4"/>
        <v>-0.21158000000286847</v>
      </c>
      <c r="O38" s="1">
        <f t="shared" ca="1" si="2"/>
        <v>-0.1902587659150124</v>
      </c>
      <c r="P38" s="1">
        <f t="shared" ref="P38:P63" si="7">+D$11+D$12*F38</f>
        <v>0</v>
      </c>
      <c r="Q38" s="10">
        <f t="shared" si="3"/>
        <v>34071.892999999996</v>
      </c>
      <c r="AA38" s="1">
        <v>11</v>
      </c>
      <c r="AC38" s="1" t="s">
        <v>45</v>
      </c>
      <c r="AE38" s="1" t="s">
        <v>36</v>
      </c>
    </row>
    <row r="39" spans="1:31">
      <c r="A39" s="1" t="s">
        <v>49</v>
      </c>
      <c r="B39" s="8"/>
      <c r="C39" s="46">
        <v>49097.394</v>
      </c>
      <c r="D39" s="46">
        <v>7.0000000000000001E-3</v>
      </c>
      <c r="E39" s="1">
        <f t="shared" si="0"/>
        <v>5729.7163833075765</v>
      </c>
      <c r="F39" s="11">
        <f t="shared" si="6"/>
        <v>5730</v>
      </c>
      <c r="G39" s="1">
        <f t="shared" si="1"/>
        <v>-0.19817999999941094</v>
      </c>
      <c r="I39" s="1">
        <f t="shared" si="4"/>
        <v>-0.19817999999941094</v>
      </c>
      <c r="O39" s="1">
        <f t="shared" ca="1" si="2"/>
        <v>-0.19060598881121521</v>
      </c>
      <c r="P39" s="1">
        <f t="shared" si="7"/>
        <v>0</v>
      </c>
      <c r="Q39" s="10">
        <f t="shared" si="3"/>
        <v>34078.894</v>
      </c>
      <c r="AA39" s="1">
        <v>11</v>
      </c>
      <c r="AC39" s="1" t="s">
        <v>45</v>
      </c>
      <c r="AE39" s="1" t="s">
        <v>36</v>
      </c>
    </row>
    <row r="40" spans="1:31">
      <c r="A40" s="48" t="s">
        <v>49</v>
      </c>
      <c r="B40" s="49" t="s">
        <v>38</v>
      </c>
      <c r="C40" s="50">
        <v>49163.427000000003</v>
      </c>
      <c r="D40" s="50">
        <v>6.0000000000000001E-3</v>
      </c>
      <c r="E40" s="1">
        <f t="shared" si="0"/>
        <v>5824.2166409067568</v>
      </c>
      <c r="F40" s="11">
        <f t="shared" si="6"/>
        <v>5824.5</v>
      </c>
      <c r="G40" s="1">
        <f t="shared" si="1"/>
        <v>-0.19799999999668216</v>
      </c>
      <c r="I40" s="1">
        <f t="shared" si="4"/>
        <v>-0.19799999999668216</v>
      </c>
      <c r="O40" s="1">
        <f t="shared" ca="1" si="2"/>
        <v>-0.19388724518033185</v>
      </c>
      <c r="P40" s="1">
        <f t="shared" si="7"/>
        <v>0</v>
      </c>
      <c r="Q40" s="10">
        <f t="shared" si="3"/>
        <v>34144.927000000003</v>
      </c>
      <c r="AA40" s="1">
        <v>6</v>
      </c>
      <c r="AC40" s="1" t="s">
        <v>45</v>
      </c>
      <c r="AE40" s="1" t="s">
        <v>36</v>
      </c>
    </row>
    <row r="41" spans="1:31">
      <c r="A41" s="48" t="s">
        <v>50</v>
      </c>
      <c r="B41" s="48"/>
      <c r="C41" s="50">
        <v>50099.409</v>
      </c>
      <c r="D41" s="50">
        <v>4.0000000000000001E-3</v>
      </c>
      <c r="E41" s="1">
        <f t="shared" si="0"/>
        <v>7163.7065945388995</v>
      </c>
      <c r="F41" s="11">
        <f t="shared" si="6"/>
        <v>7164</v>
      </c>
      <c r="G41" s="1">
        <f t="shared" si="1"/>
        <v>-0.20502000000124099</v>
      </c>
      <c r="I41" s="1">
        <f t="shared" si="4"/>
        <v>-0.20502000000124099</v>
      </c>
      <c r="O41" s="1">
        <f t="shared" ca="1" si="2"/>
        <v>-0.24039775212669942</v>
      </c>
      <c r="P41" s="1">
        <f t="shared" si="7"/>
        <v>0</v>
      </c>
      <c r="Q41" s="10">
        <f t="shared" si="3"/>
        <v>35080.909</v>
      </c>
      <c r="AA41" s="1">
        <v>6</v>
      </c>
      <c r="AC41" s="1" t="s">
        <v>51</v>
      </c>
      <c r="AE41" s="1" t="s">
        <v>36</v>
      </c>
    </row>
    <row r="42" spans="1:31">
      <c r="A42" s="48" t="s">
        <v>52</v>
      </c>
      <c r="B42" s="48"/>
      <c r="C42" s="50">
        <v>50194.438999999998</v>
      </c>
      <c r="D42" s="50">
        <v>4.0000000000000001E-3</v>
      </c>
      <c r="E42" s="1">
        <f t="shared" si="0"/>
        <v>7299.7046482340147</v>
      </c>
      <c r="F42" s="11">
        <f t="shared" si="6"/>
        <v>7300</v>
      </c>
      <c r="G42" s="1">
        <f t="shared" si="1"/>
        <v>-0.20638000000326429</v>
      </c>
      <c r="I42" s="1">
        <f t="shared" si="4"/>
        <v>-0.20638000000326429</v>
      </c>
      <c r="O42" s="1">
        <f t="shared" ca="1" si="2"/>
        <v>-0.24511998351505776</v>
      </c>
      <c r="P42" s="1">
        <f t="shared" si="7"/>
        <v>0</v>
      </c>
      <c r="Q42" s="10">
        <f t="shared" si="3"/>
        <v>35175.938999999998</v>
      </c>
      <c r="AA42" s="1">
        <v>7</v>
      </c>
      <c r="AC42" s="1" t="s">
        <v>51</v>
      </c>
      <c r="AE42" s="1" t="s">
        <v>36</v>
      </c>
    </row>
    <row r="43" spans="1:31">
      <c r="A43" s="48" t="s">
        <v>227</v>
      </c>
      <c r="B43" s="48"/>
      <c r="C43" s="50">
        <f>51339.2213</f>
        <v>51339.221299999997</v>
      </c>
      <c r="D43" s="50"/>
      <c r="E43" s="1">
        <f t="shared" si="0"/>
        <v>8938.0100749899811</v>
      </c>
      <c r="F43" s="11">
        <f t="shared" si="6"/>
        <v>8938.5</v>
      </c>
      <c r="G43" s="1">
        <f t="shared" si="1"/>
        <v>-0.34234000000287779</v>
      </c>
      <c r="H43" s="1">
        <f>G43</f>
        <v>-0.34234000000287779</v>
      </c>
      <c r="O43" s="1">
        <f t="shared" ca="1" si="2"/>
        <v>-0.30201245505788965</v>
      </c>
      <c r="P43" s="1">
        <f t="shared" si="7"/>
        <v>0</v>
      </c>
      <c r="Q43" s="10">
        <f t="shared" si="3"/>
        <v>36320.721299999997</v>
      </c>
    </row>
    <row r="44" spans="1:31">
      <c r="A44" s="48" t="s">
        <v>227</v>
      </c>
      <c r="B44" s="48"/>
      <c r="C44" s="50">
        <f>51542.2134</f>
        <v>51542.213400000001</v>
      </c>
      <c r="D44" s="50"/>
      <c r="E44" s="1">
        <f t="shared" si="0"/>
        <v>9228.5133951571388</v>
      </c>
      <c r="F44" s="11">
        <f t="shared" si="6"/>
        <v>9229</v>
      </c>
      <c r="G44" s="1">
        <f t="shared" si="1"/>
        <v>-0.3400199999960023</v>
      </c>
      <c r="H44" s="1">
        <f>G44</f>
        <v>-0.3400199999960023</v>
      </c>
      <c r="O44" s="1">
        <f t="shared" ca="1" si="2"/>
        <v>-0.31209928019258154</v>
      </c>
      <c r="P44" s="1">
        <f t="shared" si="7"/>
        <v>0</v>
      </c>
      <c r="Q44" s="10">
        <f t="shared" si="3"/>
        <v>36523.713400000001</v>
      </c>
    </row>
    <row r="45" spans="1:31">
      <c r="A45" s="48" t="s">
        <v>227</v>
      </c>
      <c r="B45" s="48"/>
      <c r="C45" s="50">
        <f>51630.2749</f>
        <v>51630.274899999997</v>
      </c>
      <c r="D45" s="50"/>
      <c r="E45" s="1">
        <f t="shared" si="0"/>
        <v>9354.5387829870033</v>
      </c>
      <c r="F45" s="11">
        <f t="shared" si="6"/>
        <v>9355</v>
      </c>
      <c r="G45" s="1">
        <f t="shared" si="1"/>
        <v>-0.32228000000031898</v>
      </c>
      <c r="H45" s="1">
        <f>G45</f>
        <v>-0.32228000000031898</v>
      </c>
      <c r="O45" s="1">
        <f t="shared" ca="1" si="2"/>
        <v>-0.31647428868473704</v>
      </c>
      <c r="P45" s="1">
        <f t="shared" si="7"/>
        <v>0</v>
      </c>
      <c r="Q45" s="10">
        <f t="shared" si="3"/>
        <v>36611.774899999997</v>
      </c>
    </row>
    <row r="46" spans="1:31">
      <c r="A46" s="51" t="s">
        <v>198</v>
      </c>
      <c r="B46" s="52" t="s">
        <v>55</v>
      </c>
      <c r="C46" s="53">
        <v>51942.4493</v>
      </c>
      <c r="D46" s="50"/>
      <c r="E46" s="1">
        <f t="shared" si="0"/>
        <v>9801.2936058160194</v>
      </c>
      <c r="F46" s="11">
        <f t="shared" si="6"/>
        <v>9802</v>
      </c>
      <c r="G46" s="1">
        <f t="shared" si="1"/>
        <v>-0.49359999999433057</v>
      </c>
      <c r="H46" s="1">
        <f>G46</f>
        <v>-0.49359999999433057</v>
      </c>
      <c r="O46" s="1">
        <f t="shared" ca="1" si="2"/>
        <v>-0.33199515214500308</v>
      </c>
      <c r="P46" s="1">
        <f t="shared" si="7"/>
        <v>0</v>
      </c>
      <c r="Q46" s="10">
        <f t="shared" si="3"/>
        <v>36923.9493</v>
      </c>
    </row>
    <row r="47" spans="1:31">
      <c r="A47" s="51" t="s">
        <v>168</v>
      </c>
      <c r="B47" s="52" t="s">
        <v>55</v>
      </c>
      <c r="C47" s="53">
        <v>52042.425999999999</v>
      </c>
      <c r="D47" s="50"/>
      <c r="E47" s="1">
        <f t="shared" si="0"/>
        <v>9944.3709141908548</v>
      </c>
      <c r="F47" s="11">
        <f t="shared" si="6"/>
        <v>9945</v>
      </c>
      <c r="G47" s="1">
        <f t="shared" si="1"/>
        <v>-0.43957999999838648</v>
      </c>
      <c r="H47" s="1">
        <f>G47</f>
        <v>-0.43957999999838648</v>
      </c>
      <c r="O47" s="1">
        <f t="shared" ca="1" si="2"/>
        <v>-0.33696043956070337</v>
      </c>
      <c r="P47" s="1">
        <f t="shared" si="7"/>
        <v>0</v>
      </c>
      <c r="Q47" s="10">
        <f t="shared" si="3"/>
        <v>37023.925999999999</v>
      </c>
    </row>
    <row r="48" spans="1:31">
      <c r="A48" s="54" t="s">
        <v>228</v>
      </c>
      <c r="B48" s="55" t="s">
        <v>55</v>
      </c>
      <c r="C48" s="54">
        <v>52042.426899999999</v>
      </c>
      <c r="D48" s="54" t="s">
        <v>67</v>
      </c>
      <c r="E48" s="1">
        <f t="shared" si="0"/>
        <v>9944.3722021867306</v>
      </c>
      <c r="F48" s="11">
        <f t="shared" si="6"/>
        <v>9945</v>
      </c>
      <c r="G48" s="1">
        <f t="shared" si="1"/>
        <v>-0.43867999999929452</v>
      </c>
      <c r="K48" s="1">
        <f t="shared" ref="K48:K54" si="8">G48</f>
        <v>-0.43867999999929452</v>
      </c>
      <c r="O48" s="1">
        <f t="shared" ca="1" si="2"/>
        <v>-0.33696043956070337</v>
      </c>
      <c r="P48" s="1">
        <f t="shared" si="7"/>
        <v>0</v>
      </c>
      <c r="Q48" s="10">
        <f t="shared" si="3"/>
        <v>37023.926899999999</v>
      </c>
    </row>
    <row r="49" spans="1:17">
      <c r="A49" s="56" t="s">
        <v>229</v>
      </c>
      <c r="B49" s="57" t="s">
        <v>55</v>
      </c>
      <c r="C49" s="58">
        <v>52669.875</v>
      </c>
      <c r="D49" s="56">
        <v>1E-3</v>
      </c>
      <c r="E49" s="1">
        <f t="shared" si="0"/>
        <v>10842.317276318052</v>
      </c>
      <c r="F49" s="11">
        <f t="shared" si="6"/>
        <v>10843</v>
      </c>
      <c r="G49" s="1">
        <f t="shared" si="1"/>
        <v>-0.47705999999743653</v>
      </c>
      <c r="K49" s="1">
        <f t="shared" si="8"/>
        <v>-0.47705999999743653</v>
      </c>
      <c r="O49" s="1">
        <f t="shared" ca="1" si="2"/>
        <v>-0.3681410556397165</v>
      </c>
      <c r="P49" s="1">
        <f t="shared" si="7"/>
        <v>0</v>
      </c>
      <c r="Q49" s="10">
        <f t="shared" si="3"/>
        <v>37651.375</v>
      </c>
    </row>
    <row r="50" spans="1:17">
      <c r="A50" s="59" t="s">
        <v>53</v>
      </c>
      <c r="B50" s="47"/>
      <c r="C50" s="60">
        <v>52704.807000000001</v>
      </c>
      <c r="D50" s="61">
        <v>2.9999999999999997E-4</v>
      </c>
      <c r="E50" s="1">
        <f t="shared" si="0"/>
        <v>10892.308689678863</v>
      </c>
      <c r="F50" s="11">
        <f t="shared" si="6"/>
        <v>10893</v>
      </c>
      <c r="G50" s="1">
        <f t="shared" si="1"/>
        <v>-0.4830599999986589</v>
      </c>
      <c r="K50" s="1">
        <f t="shared" si="8"/>
        <v>-0.4830599999986589</v>
      </c>
      <c r="O50" s="1">
        <f t="shared" ca="1" si="2"/>
        <v>-0.36987717012073063</v>
      </c>
      <c r="P50" s="1">
        <f t="shared" si="7"/>
        <v>0</v>
      </c>
      <c r="Q50" s="10">
        <f t="shared" si="3"/>
        <v>37686.307000000001</v>
      </c>
    </row>
    <row r="51" spans="1:17">
      <c r="A51" s="59" t="s">
        <v>230</v>
      </c>
      <c r="B51" s="47"/>
      <c r="C51" s="62">
        <v>53024.841</v>
      </c>
      <c r="D51" s="61">
        <v>1E-3</v>
      </c>
      <c r="E51" s="1">
        <f t="shared" si="0"/>
        <v>11350.311437403403</v>
      </c>
      <c r="F51" s="11">
        <f t="shared" si="6"/>
        <v>11351</v>
      </c>
      <c r="G51" s="1">
        <f t="shared" si="1"/>
        <v>-0.48113999999623047</v>
      </c>
      <c r="K51" s="1">
        <f t="shared" si="8"/>
        <v>-0.48113999999623047</v>
      </c>
      <c r="O51" s="1">
        <f t="shared" ca="1" si="2"/>
        <v>-0.38577997876681969</v>
      </c>
      <c r="P51" s="1">
        <f t="shared" si="7"/>
        <v>0</v>
      </c>
      <c r="Q51" s="10">
        <f t="shared" si="3"/>
        <v>38006.341</v>
      </c>
    </row>
    <row r="52" spans="1:17">
      <c r="A52" s="63" t="s">
        <v>231</v>
      </c>
      <c r="B52" s="63"/>
      <c r="C52" s="61">
        <v>53053.4876</v>
      </c>
      <c r="D52" s="64">
        <v>2.9999999999999997E-4</v>
      </c>
      <c r="E52" s="1">
        <f t="shared" si="0"/>
        <v>11391.307773770683</v>
      </c>
      <c r="F52" s="11">
        <f t="shared" si="6"/>
        <v>11392</v>
      </c>
      <c r="G52" s="1">
        <f t="shared" si="1"/>
        <v>-0.48369999999704305</v>
      </c>
      <c r="K52" s="1">
        <f t="shared" si="8"/>
        <v>-0.48369999999704305</v>
      </c>
      <c r="O52" s="1">
        <f t="shared" ca="1" si="2"/>
        <v>-0.38720359264125126</v>
      </c>
      <c r="P52" s="1">
        <f t="shared" si="7"/>
        <v>0</v>
      </c>
      <c r="Q52" s="10">
        <f t="shared" si="3"/>
        <v>38034.9876</v>
      </c>
    </row>
    <row r="53" spans="1:17">
      <c r="A53" s="59" t="s">
        <v>230</v>
      </c>
      <c r="B53" s="47"/>
      <c r="C53" s="65">
        <v>53053.833599999998</v>
      </c>
      <c r="D53" s="61">
        <v>2.0000000000000001E-4</v>
      </c>
      <c r="E53" s="1">
        <f t="shared" si="0"/>
        <v>11391.802936630602</v>
      </c>
      <c r="F53" s="11">
        <f t="shared" si="6"/>
        <v>11392.5</v>
      </c>
      <c r="G53" s="1">
        <f t="shared" si="1"/>
        <v>-0.48707999999896856</v>
      </c>
      <c r="K53" s="1">
        <f t="shared" si="8"/>
        <v>-0.48707999999896856</v>
      </c>
      <c r="O53" s="1">
        <f t="shared" ca="1" si="2"/>
        <v>-0.38722095378606142</v>
      </c>
      <c r="P53" s="1">
        <f t="shared" si="7"/>
        <v>0</v>
      </c>
      <c r="Q53" s="10">
        <f t="shared" si="3"/>
        <v>38035.333599999998</v>
      </c>
    </row>
    <row r="54" spans="1:17">
      <c r="A54" s="66" t="s">
        <v>207</v>
      </c>
      <c r="B54" s="67" t="s">
        <v>38</v>
      </c>
      <c r="C54" s="68">
        <v>53515.004300000001</v>
      </c>
      <c r="D54" s="46"/>
      <c r="E54" s="1">
        <f t="shared" si="0"/>
        <v>12051.787337569413</v>
      </c>
      <c r="F54" s="11">
        <f t="shared" si="6"/>
        <v>12052.5</v>
      </c>
      <c r="G54" s="1">
        <f t="shared" si="1"/>
        <v>-0.49798000000009779</v>
      </c>
      <c r="K54" s="1">
        <f t="shared" si="8"/>
        <v>-0.49798000000009779</v>
      </c>
      <c r="O54" s="1">
        <f t="shared" ca="1" si="2"/>
        <v>-0.41013766493544745</v>
      </c>
      <c r="P54" s="1">
        <f t="shared" si="7"/>
        <v>0</v>
      </c>
      <c r="Q54" s="10">
        <f t="shared" si="3"/>
        <v>38496.504300000001</v>
      </c>
    </row>
    <row r="55" spans="1:17">
      <c r="A55" s="56" t="s">
        <v>228</v>
      </c>
      <c r="B55" s="57" t="s">
        <v>55</v>
      </c>
      <c r="C55" s="56">
        <v>53866.473579999998</v>
      </c>
      <c r="D55" s="56">
        <v>1.6000000000000001E-3</v>
      </c>
      <c r="E55" s="1">
        <f t="shared" si="0"/>
        <v>12554.777319823686</v>
      </c>
      <c r="F55" s="11">
        <f t="shared" si="6"/>
        <v>12555.5</v>
      </c>
      <c r="G55" s="1">
        <f t="shared" si="1"/>
        <v>-0.5049799999978859</v>
      </c>
      <c r="K55" s="1">
        <f t="shared" ref="K55:K66" si="9">G55</f>
        <v>-0.5049799999978859</v>
      </c>
      <c r="O55" s="1">
        <f t="shared" ca="1" si="2"/>
        <v>-0.42760297661444924</v>
      </c>
      <c r="P55" s="1">
        <f t="shared" si="7"/>
        <v>0</v>
      </c>
      <c r="Q55" s="10">
        <f t="shared" si="3"/>
        <v>38847.973579999998</v>
      </c>
    </row>
    <row r="56" spans="1:17">
      <c r="A56" s="56" t="s">
        <v>232</v>
      </c>
      <c r="B56" s="57" t="s">
        <v>38</v>
      </c>
      <c r="C56" s="56">
        <v>54216.323499999999</v>
      </c>
      <c r="D56" s="56">
        <v>5.5999999999999999E-3</v>
      </c>
      <c r="E56" s="1">
        <f t="shared" si="0"/>
        <v>13055.449825405003</v>
      </c>
      <c r="F56" s="11">
        <f t="shared" si="6"/>
        <v>13056</v>
      </c>
      <c r="G56" s="1">
        <f t="shared" si="1"/>
        <v>-0.38444000000163214</v>
      </c>
      <c r="J56" s="1">
        <f>G56</f>
        <v>-0.38444000000163214</v>
      </c>
      <c r="O56" s="1">
        <f t="shared" ca="1" si="2"/>
        <v>-0.44498148256940034</v>
      </c>
      <c r="P56" s="1">
        <f t="shared" si="7"/>
        <v>0</v>
      </c>
      <c r="Q56" s="10">
        <f t="shared" si="3"/>
        <v>39197.823499999999</v>
      </c>
    </row>
    <row r="57" spans="1:17">
      <c r="A57" s="56" t="s">
        <v>232</v>
      </c>
      <c r="B57" s="57" t="s">
        <v>38</v>
      </c>
      <c r="C57" s="56">
        <v>54220.515599999999</v>
      </c>
      <c r="D57" s="56">
        <v>6.7000000000000002E-3</v>
      </c>
      <c r="E57" s="1">
        <f t="shared" si="0"/>
        <v>13061.449167096</v>
      </c>
      <c r="F57" s="11">
        <f t="shared" si="6"/>
        <v>13062</v>
      </c>
      <c r="G57" s="1">
        <f t="shared" si="1"/>
        <v>-0.38489999999728752</v>
      </c>
      <c r="J57" s="1">
        <f>G57</f>
        <v>-0.38489999999728752</v>
      </c>
      <c r="O57" s="1">
        <f t="shared" ca="1" si="2"/>
        <v>-0.44518981630712201</v>
      </c>
      <c r="P57" s="1">
        <f t="shared" si="7"/>
        <v>0</v>
      </c>
      <c r="Q57" s="81">
        <f t="shared" si="3"/>
        <v>39202.015599999999</v>
      </c>
    </row>
    <row r="58" spans="1:17">
      <c r="A58" s="56" t="s">
        <v>233</v>
      </c>
      <c r="B58" s="57" t="s">
        <v>55</v>
      </c>
      <c r="C58" s="56">
        <v>55602.874000000003</v>
      </c>
      <c r="D58" s="56">
        <v>3.0000000000000001E-3</v>
      </c>
      <c r="E58" s="1">
        <f t="shared" si="0"/>
        <v>15039.751302306951</v>
      </c>
      <c r="F58" s="11">
        <f t="shared" si="6"/>
        <v>15040.5</v>
      </c>
      <c r="G58" s="1">
        <f t="shared" si="1"/>
        <v>-0.5231599999970058</v>
      </c>
      <c r="K58" s="1">
        <f t="shared" si="9"/>
        <v>-0.5231599999970058</v>
      </c>
      <c r="O58" s="1">
        <f t="shared" ca="1" si="2"/>
        <v>-0.51388786632084971</v>
      </c>
      <c r="P58" s="1">
        <f t="shared" si="7"/>
        <v>0</v>
      </c>
      <c r="Q58" s="81">
        <f t="shared" si="3"/>
        <v>40584.374000000003</v>
      </c>
    </row>
    <row r="59" spans="1:17">
      <c r="A59" s="56" t="s">
        <v>234</v>
      </c>
      <c r="B59" s="57" t="s">
        <v>55</v>
      </c>
      <c r="C59" s="56">
        <v>55643.4067</v>
      </c>
      <c r="D59" s="56">
        <v>2.3999999999999998E-3</v>
      </c>
      <c r="E59" s="1">
        <f t="shared" si="0"/>
        <v>15097.757914019121</v>
      </c>
      <c r="F59" s="11">
        <f t="shared" si="6"/>
        <v>15098.5</v>
      </c>
      <c r="G59" s="1">
        <f t="shared" si="1"/>
        <v>-0.51853999999730149</v>
      </c>
      <c r="J59" s="1">
        <f>G59</f>
        <v>-0.51853999999730149</v>
      </c>
      <c r="O59" s="1">
        <f t="shared" ca="1" si="2"/>
        <v>-0.51590175911882608</v>
      </c>
      <c r="P59" s="1">
        <f t="shared" si="7"/>
        <v>0</v>
      </c>
      <c r="Q59" s="81">
        <f t="shared" si="3"/>
        <v>40624.9067</v>
      </c>
    </row>
    <row r="60" spans="1:17">
      <c r="A60" s="56" t="s">
        <v>234</v>
      </c>
      <c r="B60" s="57" t="s">
        <v>38</v>
      </c>
      <c r="C60" s="56">
        <v>55644.463000000003</v>
      </c>
      <c r="D60" s="56">
        <v>2.3999999999999998E-3</v>
      </c>
      <c r="E60" s="1">
        <f t="shared" si="0"/>
        <v>15099.269591848424</v>
      </c>
      <c r="F60" s="11">
        <f t="shared" si="6"/>
        <v>15100</v>
      </c>
      <c r="G60" s="1">
        <f t="shared" si="1"/>
        <v>-0.51037999999243766</v>
      </c>
      <c r="J60" s="1">
        <f>G60</f>
        <v>-0.51037999999243766</v>
      </c>
      <c r="O60" s="1">
        <f t="shared" ca="1" si="2"/>
        <v>-0.51595384255325649</v>
      </c>
      <c r="P60" s="1">
        <f t="shared" si="7"/>
        <v>0</v>
      </c>
      <c r="Q60" s="81">
        <f t="shared" si="3"/>
        <v>40625.963000000003</v>
      </c>
    </row>
    <row r="61" spans="1:17">
      <c r="A61" s="61" t="s">
        <v>235</v>
      </c>
      <c r="B61" s="47" t="s">
        <v>55</v>
      </c>
      <c r="C61" s="61">
        <v>55959.9257</v>
      </c>
      <c r="D61" s="61">
        <v>1E-3</v>
      </c>
      <c r="E61" s="1">
        <f t="shared" si="0"/>
        <v>15550.730322285193</v>
      </c>
      <c r="F61" s="69">
        <f t="shared" ref="F61:F67" si="10">ROUND(2*E61,0)/2+1</f>
        <v>15551.5</v>
      </c>
      <c r="G61" s="1">
        <f t="shared" si="1"/>
        <v>-0.53781999999773689</v>
      </c>
      <c r="K61" s="1">
        <f t="shared" si="9"/>
        <v>-0.53781999999773689</v>
      </c>
      <c r="O61" s="1">
        <f t="shared" ca="1" si="2"/>
        <v>-0.53163095631681379</v>
      </c>
      <c r="P61" s="1">
        <f t="shared" si="7"/>
        <v>0</v>
      </c>
      <c r="Q61" s="81">
        <f t="shared" si="3"/>
        <v>40941.4257</v>
      </c>
    </row>
    <row r="62" spans="1:17">
      <c r="A62" s="61" t="s">
        <v>235</v>
      </c>
      <c r="B62" s="47" t="s">
        <v>55</v>
      </c>
      <c r="C62" s="61">
        <v>56034.6826</v>
      </c>
      <c r="D62" s="61">
        <v>5.9999999999999995E-4</v>
      </c>
      <c r="E62" s="1">
        <f t="shared" si="0"/>
        <v>15657.715410155135</v>
      </c>
      <c r="F62" s="69">
        <f t="shared" si="10"/>
        <v>15658.5</v>
      </c>
      <c r="G62" s="1">
        <f t="shared" si="1"/>
        <v>-0.54823999999644002</v>
      </c>
      <c r="K62" s="1">
        <f t="shared" si="9"/>
        <v>-0.54823999999644002</v>
      </c>
      <c r="O62" s="1">
        <f t="shared" ca="1" si="2"/>
        <v>-0.53534624130618391</v>
      </c>
      <c r="P62" s="1">
        <f t="shared" si="7"/>
        <v>0</v>
      </c>
      <c r="Q62" s="81">
        <f t="shared" si="3"/>
        <v>41016.1826</v>
      </c>
    </row>
    <row r="63" spans="1:17">
      <c r="A63" s="61" t="s">
        <v>236</v>
      </c>
      <c r="B63" s="47" t="s">
        <v>55</v>
      </c>
      <c r="C63" s="70">
        <v>56799.458480000001</v>
      </c>
      <c r="D63" s="61">
        <v>5.9999999999999995E-4</v>
      </c>
      <c r="E63" s="1">
        <f t="shared" si="0"/>
        <v>16752.191167210491</v>
      </c>
      <c r="F63" s="69">
        <f t="shared" si="10"/>
        <v>16753</v>
      </c>
      <c r="G63" s="1">
        <f t="shared" si="1"/>
        <v>-0.56517999999778112</v>
      </c>
      <c r="K63" s="1">
        <f t="shared" si="9"/>
        <v>-0.56517999999778112</v>
      </c>
      <c r="O63" s="1">
        <f t="shared" ca="1" si="2"/>
        <v>-0.5733497872955825</v>
      </c>
      <c r="P63" s="1">
        <f t="shared" si="7"/>
        <v>0</v>
      </c>
      <c r="Q63" s="81">
        <f t="shared" si="3"/>
        <v>41780.958480000001</v>
      </c>
    </row>
    <row r="64" spans="1:17">
      <c r="A64" s="71" t="s">
        <v>237</v>
      </c>
      <c r="B64" s="72" t="s">
        <v>38</v>
      </c>
      <c r="C64" s="73">
        <v>57797.238299999997</v>
      </c>
      <c r="D64" s="74" t="s">
        <v>66</v>
      </c>
      <c r="E64" s="1">
        <f>+(C64-C$7)/C$8</f>
        <v>18180.120384681435</v>
      </c>
      <c r="F64" s="69">
        <f t="shared" si="10"/>
        <v>18181</v>
      </c>
      <c r="G64" s="1">
        <f>+C64-(C$7+F64*C$8)</f>
        <v>-0.61463999999978114</v>
      </c>
      <c r="K64" s="1">
        <f t="shared" si="9"/>
        <v>-0.61463999999978114</v>
      </c>
      <c r="O64" s="1">
        <f ca="1">+C$11+C$12*F64</f>
        <v>-0.62293321687334502</v>
      </c>
      <c r="P64" s="1">
        <f>+D$11+D$12*F64</f>
        <v>0</v>
      </c>
      <c r="Q64" s="81">
        <f>+C64-15018.5</f>
        <v>42778.738299999997</v>
      </c>
    </row>
    <row r="65" spans="1:17">
      <c r="A65" s="75" t="s">
        <v>238</v>
      </c>
      <c r="B65" s="76" t="s">
        <v>55</v>
      </c>
      <c r="C65" s="77">
        <v>57925.473400000003</v>
      </c>
      <c r="D65" s="77">
        <v>2.0000000000000001E-4</v>
      </c>
      <c r="E65" s="1">
        <f>+(C65-C$7)/C$8</f>
        <v>18363.638473867999</v>
      </c>
      <c r="F65" s="69">
        <f t="shared" si="10"/>
        <v>18364.5</v>
      </c>
      <c r="G65" s="1">
        <f>+C65-(C$7+F65*C$8)</f>
        <v>-0.60199999999895226</v>
      </c>
      <c r="K65" s="1">
        <f t="shared" si="9"/>
        <v>-0.60199999999895226</v>
      </c>
      <c r="O65" s="1">
        <f ca="1">+C$11+C$12*F65</f>
        <v>-0.62930475701866673</v>
      </c>
      <c r="P65" s="1">
        <f>+D$11+D$12*F65</f>
        <v>0</v>
      </c>
      <c r="Q65" s="81">
        <f>+C65-15018.5</f>
        <v>42906.973400000003</v>
      </c>
    </row>
    <row r="66" spans="1:17">
      <c r="A66" s="75" t="s">
        <v>238</v>
      </c>
      <c r="B66" s="76" t="s">
        <v>55</v>
      </c>
      <c r="C66" s="77">
        <v>57926.4997</v>
      </c>
      <c r="D66" s="77">
        <v>2.9999999999999997E-4</v>
      </c>
      <c r="E66" s="1">
        <f>+(C66-C$7)/C$8</f>
        <v>18365.107218501347</v>
      </c>
      <c r="F66" s="69">
        <f t="shared" si="10"/>
        <v>18366</v>
      </c>
      <c r="G66" s="1">
        <f>+C66-(C$7+F66*C$8)</f>
        <v>-0.62384000000020023</v>
      </c>
      <c r="K66" s="1">
        <f t="shared" si="9"/>
        <v>-0.62384000000020023</v>
      </c>
      <c r="O66" s="1">
        <f ca="1">+C$11+C$12*F66</f>
        <v>-0.62935684045309714</v>
      </c>
      <c r="P66" s="1">
        <f>+D$11+D$12*F66</f>
        <v>0</v>
      </c>
      <c r="Q66" s="81">
        <f>+C66-15018.5</f>
        <v>42907.9997</v>
      </c>
    </row>
    <row r="67" spans="1:17">
      <c r="A67" s="4" t="s">
        <v>239</v>
      </c>
      <c r="C67" s="46">
        <v>58926.717441203691</v>
      </c>
      <c r="D67" s="46">
        <v>8.0000000000000004E-4</v>
      </c>
      <c r="E67" s="1">
        <f>+(C67-C$7)/C$8</f>
        <v>19796.525360930351</v>
      </c>
      <c r="F67" s="69">
        <f t="shared" si="10"/>
        <v>19797.5</v>
      </c>
      <c r="G67" s="1">
        <f>+C67-(C$7+F67*C$8)</f>
        <v>-0.68103879630507436</v>
      </c>
      <c r="K67" s="1">
        <f>G67</f>
        <v>-0.68103879630507436</v>
      </c>
      <c r="O67" s="1">
        <f ca="1">+C$11+C$12*F67</f>
        <v>-0.67906179804453071</v>
      </c>
      <c r="P67" s="1">
        <f>+D$11+D$12*F67</f>
        <v>0</v>
      </c>
      <c r="Q67" s="81">
        <f>+C67-15018.5</f>
        <v>43908.217441203691</v>
      </c>
    </row>
    <row r="68" spans="1:17">
      <c r="A68" s="78" t="s">
        <v>240</v>
      </c>
      <c r="B68" s="79" t="s">
        <v>55</v>
      </c>
      <c r="C68" s="80">
        <v>58925.321000000004</v>
      </c>
      <c r="D68" s="80" t="s">
        <v>66</v>
      </c>
      <c r="E68" s="1">
        <f>+(C68-C$7)/C$8</f>
        <v>19794.526904802802</v>
      </c>
      <c r="F68" s="69">
        <f>ROUND(2*E68,0)/2+1</f>
        <v>19795.5</v>
      </c>
      <c r="G68" s="1">
        <f>+C68-(C$7+F68*C$8)</f>
        <v>-0.67995999999402557</v>
      </c>
      <c r="K68" s="1">
        <f>G68</f>
        <v>-0.67995999999402557</v>
      </c>
      <c r="O68" s="1">
        <f ca="1">+C$11+C$12*F68</f>
        <v>-0.67899235346529008</v>
      </c>
      <c r="P68" s="1">
        <f>+D$11+D$12*F68</f>
        <v>0</v>
      </c>
      <c r="Q68" s="81">
        <f>+C68-15018.5</f>
        <v>43906.821000000004</v>
      </c>
    </row>
    <row r="69" spans="1:17">
      <c r="A69" s="82" t="s">
        <v>241</v>
      </c>
      <c r="B69" s="83" t="s">
        <v>55</v>
      </c>
      <c r="C69" s="84">
        <v>59750.495600000002</v>
      </c>
      <c r="D69" s="82">
        <v>4.0000000000000002E-4</v>
      </c>
      <c r="E69" s="1">
        <f>+(C69-C$7)/C$8</f>
        <v>20975.439664548634</v>
      </c>
      <c r="F69" s="85">
        <f>ROUND(2*E69,0)/2+1</f>
        <v>20976.5</v>
      </c>
      <c r="G69" s="1">
        <f>+C69-(C$7+F69*C$8)</f>
        <v>-0.74091999999654945</v>
      </c>
      <c r="K69" s="1">
        <f>G69</f>
        <v>-0.74091999999654945</v>
      </c>
      <c r="O69" s="1">
        <f ca="1">+C$11+C$12*F69</f>
        <v>-0.71999937750684306</v>
      </c>
      <c r="P69" s="1">
        <f>+D$11+D$12*F69</f>
        <v>0</v>
      </c>
      <c r="Q69" s="81">
        <f>+C69-15018.5</f>
        <v>44731.995600000002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workbookViewId="0"/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  <c r="C1" s="3" t="s">
        <v>1</v>
      </c>
    </row>
    <row r="2" spans="1:4">
      <c r="A2" s="1" t="s">
        <v>2</v>
      </c>
    </row>
    <row r="4" spans="1:4">
      <c r="A4" s="4" t="s">
        <v>3</v>
      </c>
      <c r="C4" s="5">
        <v>45093.347999999998</v>
      </c>
      <c r="D4" s="6">
        <v>0.69868339999999995</v>
      </c>
    </row>
    <row r="6" spans="1:4">
      <c r="A6" s="4" t="s">
        <v>4</v>
      </c>
    </row>
    <row r="7" spans="1:4">
      <c r="A7" s="1" t="s">
        <v>5</v>
      </c>
      <c r="C7" s="1">
        <f>+C4</f>
        <v>45093.347999999998</v>
      </c>
    </row>
    <row r="8" spans="1:4">
      <c r="A8" s="1" t="s">
        <v>6</v>
      </c>
      <c r="C8" s="1">
        <f>+D4</f>
        <v>0.69868339999999995</v>
      </c>
    </row>
    <row r="10" spans="1:4">
      <c r="C10" s="7" t="s">
        <v>7</v>
      </c>
      <c r="D10" s="7" t="s">
        <v>8</v>
      </c>
    </row>
    <row r="11" spans="1:4">
      <c r="A11" s="1" t="s">
        <v>9</v>
      </c>
      <c r="C11" s="1">
        <f>INTERCEPT(G21:G98,F21:F98)</f>
        <v>1.0107824203527255E-2</v>
      </c>
      <c r="D11" s="8"/>
    </row>
    <row r="12" spans="1:4">
      <c r="A12" s="1" t="s">
        <v>10</v>
      </c>
      <c r="C12" s="1">
        <f>SLOPE(G21:G98,F21:F98)</f>
        <v>6.1098401164817426E-7</v>
      </c>
      <c r="D12" s="8"/>
    </row>
    <row r="13" spans="1:4">
      <c r="A13" s="1" t="s">
        <v>11</v>
      </c>
      <c r="C13" s="8" t="s">
        <v>12</v>
      </c>
      <c r="D13" s="8"/>
    </row>
    <row r="14" spans="1:4">
      <c r="A14" s="1" t="s">
        <v>13</v>
      </c>
    </row>
    <row r="15" spans="1:4">
      <c r="A15" s="4" t="s">
        <v>14</v>
      </c>
      <c r="C15" s="1">
        <v>52704.807000000001</v>
      </c>
    </row>
    <row r="16" spans="1:4">
      <c r="A16" s="4" t="s">
        <v>15</v>
      </c>
      <c r="C16" s="1">
        <f>+C8+C12</f>
        <v>0.69868401098401156</v>
      </c>
    </row>
    <row r="18" spans="1:31">
      <c r="A18" s="4" t="s">
        <v>16</v>
      </c>
      <c r="C18" s="5">
        <f>+C15</f>
        <v>52704.807000000001</v>
      </c>
      <c r="D18" s="6">
        <f>+C16</f>
        <v>0.69868401098401156</v>
      </c>
    </row>
    <row r="20" spans="1:31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</row>
    <row r="21" spans="1:31">
      <c r="A21" s="1" t="s">
        <v>24</v>
      </c>
      <c r="C21" s="1">
        <f>+C4</f>
        <v>45093.347999999998</v>
      </c>
      <c r="D21" s="8" t="s">
        <v>12</v>
      </c>
      <c r="E21" s="1">
        <f>+(C21-C$7)/C$8</f>
        <v>0</v>
      </c>
      <c r="F21" s="1">
        <f t="shared" ref="F21:F45" si="0">ROUND(2*E21,0)/2</f>
        <v>0</v>
      </c>
      <c r="G21" s="1">
        <f>+C21-(C$7+F21*C$8)</f>
        <v>0</v>
      </c>
      <c r="H21" s="1">
        <f>+G21</f>
        <v>0</v>
      </c>
      <c r="O21" s="1">
        <f>+C$11+C$12*F21</f>
        <v>1.0107824203527255E-2</v>
      </c>
      <c r="Q21" s="10">
        <f>+C21-15018.5</f>
        <v>30074.847999999998</v>
      </c>
    </row>
    <row r="22" spans="1:31">
      <c r="A22" s="1" t="s">
        <v>34</v>
      </c>
      <c r="C22" s="1">
        <v>42570.427000000003</v>
      </c>
      <c r="D22" s="8"/>
      <c r="E22" s="1">
        <f t="shared" ref="E22:E42" si="1">+(C22-C$7)/C$8</f>
        <v>-3610.9645656387356</v>
      </c>
      <c r="F22" s="1">
        <f t="shared" si="0"/>
        <v>-3611</v>
      </c>
      <c r="G22" s="1">
        <f t="shared" ref="G22:G42" si="2">+C22-(C$7+F22*C$8)</f>
        <v>2.4757400002272334E-2</v>
      </c>
      <c r="I22" s="1">
        <f t="shared" ref="I22:I29" si="3">G22</f>
        <v>2.4757400002272334E-2</v>
      </c>
      <c r="O22" s="1">
        <f t="shared" ref="O22:O42" si="4">+C$11+C$12*F22</f>
        <v>7.9015609374656973E-3</v>
      </c>
      <c r="Q22" s="10">
        <f t="shared" ref="Q22:Q42" si="5">+C22-15018.5</f>
        <v>27551.927000000003</v>
      </c>
      <c r="AA22" s="1">
        <v>5</v>
      </c>
      <c r="AC22" s="1" t="s">
        <v>35</v>
      </c>
      <c r="AE22" s="1" t="s">
        <v>36</v>
      </c>
    </row>
    <row r="23" spans="1:31">
      <c r="A23" s="1" t="s">
        <v>37</v>
      </c>
      <c r="B23" s="8" t="s">
        <v>38</v>
      </c>
      <c r="C23" s="1">
        <v>44299.317999999999</v>
      </c>
      <c r="D23" s="8"/>
      <c r="E23" s="1">
        <f t="shared" si="1"/>
        <v>-1136.4661018137813</v>
      </c>
      <c r="F23" s="1">
        <f t="shared" si="0"/>
        <v>-1136.5</v>
      </c>
      <c r="G23" s="1">
        <f t="shared" si="2"/>
        <v>2.3684100000537001E-2</v>
      </c>
      <c r="I23" s="1">
        <f t="shared" si="3"/>
        <v>2.3684100000537001E-2</v>
      </c>
      <c r="O23" s="1">
        <f t="shared" si="4"/>
        <v>9.413440874289105E-3</v>
      </c>
      <c r="Q23" s="10">
        <f t="shared" si="5"/>
        <v>29280.817999999999</v>
      </c>
      <c r="AA23" s="1">
        <v>9</v>
      </c>
      <c r="AC23" s="1" t="s">
        <v>35</v>
      </c>
      <c r="AE23" s="1" t="s">
        <v>36</v>
      </c>
    </row>
    <row r="24" spans="1:31">
      <c r="A24" s="1" t="s">
        <v>39</v>
      </c>
      <c r="B24" s="8" t="s">
        <v>38</v>
      </c>
      <c r="C24" s="1">
        <v>45101.381000000001</v>
      </c>
      <c r="D24" s="8"/>
      <c r="E24" s="1">
        <f t="shared" si="1"/>
        <v>11.497339138160553</v>
      </c>
      <c r="F24" s="1">
        <f t="shared" si="0"/>
        <v>11.5</v>
      </c>
      <c r="G24" s="1">
        <f t="shared" si="2"/>
        <v>-1.8590999970911071E-3</v>
      </c>
      <c r="I24" s="1">
        <f t="shared" si="3"/>
        <v>-1.8590999970911071E-3</v>
      </c>
      <c r="O24" s="1">
        <f t="shared" si="4"/>
        <v>1.011485051966121E-2</v>
      </c>
      <c r="Q24" s="10">
        <f t="shared" si="5"/>
        <v>30082.881000000001</v>
      </c>
      <c r="AA24" s="1">
        <v>6</v>
      </c>
      <c r="AC24" s="1" t="s">
        <v>40</v>
      </c>
      <c r="AE24" s="1" t="s">
        <v>36</v>
      </c>
    </row>
    <row r="25" spans="1:31">
      <c r="A25" s="1" t="s">
        <v>39</v>
      </c>
      <c r="B25" s="8" t="s">
        <v>38</v>
      </c>
      <c r="C25" s="1">
        <v>45115.364999999998</v>
      </c>
      <c r="D25" s="8"/>
      <c r="E25" s="1">
        <f t="shared" si="1"/>
        <v>31.512126951921037</v>
      </c>
      <c r="F25" s="1">
        <f t="shared" si="0"/>
        <v>31.5</v>
      </c>
      <c r="G25" s="1">
        <f t="shared" si="2"/>
        <v>8.4729000009247102E-3</v>
      </c>
      <c r="I25" s="1">
        <f t="shared" si="3"/>
        <v>8.4729000009247102E-3</v>
      </c>
      <c r="O25" s="1">
        <f t="shared" si="4"/>
        <v>1.0127070199894173E-2</v>
      </c>
      <c r="Q25" s="10">
        <f t="shared" si="5"/>
        <v>30096.864999999998</v>
      </c>
      <c r="AA25" s="1">
        <v>6</v>
      </c>
      <c r="AC25" s="1" t="s">
        <v>40</v>
      </c>
      <c r="AE25" s="1" t="s">
        <v>36</v>
      </c>
    </row>
    <row r="26" spans="1:31">
      <c r="A26" s="1" t="s">
        <v>41</v>
      </c>
      <c r="B26" s="8" t="s">
        <v>38</v>
      </c>
      <c r="C26" s="1">
        <v>46861.374000000003</v>
      </c>
      <c r="D26" s="8"/>
      <c r="E26" s="1">
        <f t="shared" si="1"/>
        <v>2530.5109581822117</v>
      </c>
      <c r="F26" s="1">
        <f t="shared" si="0"/>
        <v>2530.5</v>
      </c>
      <c r="G26" s="1">
        <f t="shared" si="2"/>
        <v>7.6563000038731843E-3</v>
      </c>
      <c r="I26" s="1">
        <f t="shared" si="3"/>
        <v>7.6563000038731843E-3</v>
      </c>
      <c r="O26" s="1">
        <f t="shared" si="4"/>
        <v>1.1653919245002961E-2</v>
      </c>
      <c r="Q26" s="10">
        <f t="shared" si="5"/>
        <v>31842.874000000003</v>
      </c>
      <c r="AA26" s="1">
        <v>8</v>
      </c>
      <c r="AC26" s="1" t="s">
        <v>42</v>
      </c>
      <c r="AE26" s="1" t="s">
        <v>36</v>
      </c>
    </row>
    <row r="27" spans="1:31">
      <c r="A27" s="1" t="s">
        <v>43</v>
      </c>
      <c r="B27" s="8"/>
      <c r="C27" s="1">
        <v>47208.275999999998</v>
      </c>
      <c r="D27" s="8"/>
      <c r="E27" s="1">
        <f t="shared" si="1"/>
        <v>3027.0191047905246</v>
      </c>
      <c r="F27" s="1">
        <f t="shared" si="0"/>
        <v>3027</v>
      </c>
      <c r="G27" s="1">
        <f t="shared" si="2"/>
        <v>1.334820000192849E-2</v>
      </c>
      <c r="I27" s="1">
        <f t="shared" si="3"/>
        <v>1.334820000192849E-2</v>
      </c>
      <c r="O27" s="1">
        <f t="shared" si="4"/>
        <v>1.1957272806786278E-2</v>
      </c>
      <c r="Q27" s="10">
        <f t="shared" si="5"/>
        <v>32189.775999999998</v>
      </c>
      <c r="AA27" s="1">
        <v>8</v>
      </c>
      <c r="AC27" s="1" t="s">
        <v>40</v>
      </c>
      <c r="AE27" s="1" t="s">
        <v>36</v>
      </c>
    </row>
    <row r="28" spans="1:31">
      <c r="A28" s="1" t="s">
        <v>44</v>
      </c>
      <c r="B28" s="8"/>
      <c r="C28" s="1">
        <v>47595.358999999997</v>
      </c>
      <c r="D28" s="8"/>
      <c r="E28" s="1">
        <f t="shared" si="1"/>
        <v>3581.0368473045141</v>
      </c>
      <c r="F28" s="1">
        <f t="shared" si="0"/>
        <v>3581</v>
      </c>
      <c r="G28" s="1">
        <f t="shared" si="2"/>
        <v>2.5744599995960016E-2</v>
      </c>
      <c r="I28" s="1">
        <f t="shared" si="3"/>
        <v>2.5744599995960016E-2</v>
      </c>
      <c r="O28" s="1">
        <f t="shared" si="4"/>
        <v>1.2295757949239367E-2</v>
      </c>
      <c r="Q28" s="10">
        <f t="shared" si="5"/>
        <v>32576.858999999997</v>
      </c>
      <c r="AA28" s="1">
        <v>7</v>
      </c>
      <c r="AC28" s="1" t="s">
        <v>45</v>
      </c>
      <c r="AE28" s="1" t="s">
        <v>36</v>
      </c>
    </row>
    <row r="29" spans="1:31">
      <c r="A29" s="1" t="s">
        <v>44</v>
      </c>
      <c r="B29" s="8"/>
      <c r="C29" s="1">
        <v>47597.428</v>
      </c>
      <c r="D29" s="8"/>
      <c r="E29" s="1">
        <f t="shared" si="1"/>
        <v>3583.9981313424678</v>
      </c>
      <c r="F29" s="1">
        <f t="shared" si="0"/>
        <v>3584</v>
      </c>
      <c r="G29" s="1">
        <f t="shared" si="2"/>
        <v>-1.3055999952484854E-3</v>
      </c>
      <c r="I29" s="1">
        <f t="shared" si="3"/>
        <v>-1.3055999952484854E-3</v>
      </c>
      <c r="O29" s="1">
        <f t="shared" si="4"/>
        <v>1.2297590901274313E-2</v>
      </c>
      <c r="Q29" s="10">
        <f t="shared" si="5"/>
        <v>32578.928</v>
      </c>
      <c r="AA29" s="1">
        <v>8</v>
      </c>
      <c r="AC29" s="1" t="s">
        <v>45</v>
      </c>
      <c r="AE29" s="1" t="s">
        <v>36</v>
      </c>
    </row>
    <row r="30" spans="1:31">
      <c r="A30" s="1" t="s">
        <v>46</v>
      </c>
      <c r="B30" s="8" t="s">
        <v>38</v>
      </c>
      <c r="C30" s="1">
        <v>48361.343000000001</v>
      </c>
      <c r="D30" s="8"/>
      <c r="E30" s="1">
        <f t="shared" si="1"/>
        <v>4677.3617349431843</v>
      </c>
      <c r="F30" s="1">
        <f t="shared" si="0"/>
        <v>4677.5</v>
      </c>
      <c r="I30" s="11">
        <v>-9.6603499994671438E-2</v>
      </c>
      <c r="O30" s="1">
        <f t="shared" si="4"/>
        <v>1.296570191801159E-2</v>
      </c>
      <c r="Q30" s="10">
        <f t="shared" si="5"/>
        <v>33342.843000000001</v>
      </c>
      <c r="AA30" s="1">
        <v>8</v>
      </c>
      <c r="AC30" s="1" t="s">
        <v>45</v>
      </c>
      <c r="AE30" s="1" t="s">
        <v>36</v>
      </c>
    </row>
    <row r="31" spans="1:31">
      <c r="A31" s="1" t="s">
        <v>46</v>
      </c>
      <c r="B31" s="8"/>
      <c r="C31" s="1">
        <v>48362.375999999997</v>
      </c>
      <c r="D31" s="8"/>
      <c r="E31" s="1">
        <f t="shared" si="1"/>
        <v>4678.8402300670068</v>
      </c>
      <c r="F31" s="1">
        <f t="shared" si="0"/>
        <v>4679</v>
      </c>
      <c r="I31" s="11">
        <v>-0.1116286000033142</v>
      </c>
      <c r="O31" s="1">
        <f t="shared" si="4"/>
        <v>1.2966618394029062E-2</v>
      </c>
      <c r="Q31" s="10">
        <f t="shared" si="5"/>
        <v>33343.875999999997</v>
      </c>
      <c r="AA31" s="1">
        <v>8</v>
      </c>
      <c r="AC31" s="1" t="s">
        <v>45</v>
      </c>
      <c r="AE31" s="1" t="s">
        <v>36</v>
      </c>
    </row>
    <row r="32" spans="1:31">
      <c r="A32" s="1" t="s">
        <v>47</v>
      </c>
      <c r="B32" s="8"/>
      <c r="C32" s="1">
        <v>48385.425999999999</v>
      </c>
      <c r="D32" s="1">
        <v>4.0000000000000001E-3</v>
      </c>
      <c r="E32" s="1">
        <f t="shared" si="1"/>
        <v>4711.8308521427607</v>
      </c>
      <c r="F32" s="1">
        <f t="shared" si="0"/>
        <v>4712</v>
      </c>
      <c r="I32" s="11">
        <v>-0.11818079999648035</v>
      </c>
      <c r="O32" s="1">
        <f t="shared" si="4"/>
        <v>1.2986780866413453E-2</v>
      </c>
      <c r="Q32" s="10">
        <f t="shared" si="5"/>
        <v>33366.925999999999</v>
      </c>
      <c r="AA32" s="1">
        <v>12</v>
      </c>
      <c r="AC32" s="1" t="s">
        <v>45</v>
      </c>
      <c r="AE32" s="1" t="s">
        <v>36</v>
      </c>
    </row>
    <row r="33" spans="1:31">
      <c r="A33" s="1" t="s">
        <v>47</v>
      </c>
      <c r="B33" s="8"/>
      <c r="C33" s="1">
        <v>48406.400999999998</v>
      </c>
      <c r="D33" s="1">
        <v>3.0000000000000001E-3</v>
      </c>
      <c r="E33" s="1">
        <f t="shared" si="1"/>
        <v>4741.8516025999761</v>
      </c>
      <c r="F33" s="1">
        <f t="shared" si="0"/>
        <v>4742</v>
      </c>
      <c r="I33" s="11">
        <v>-0.10368279999966035</v>
      </c>
      <c r="O33" s="1">
        <f t="shared" si="4"/>
        <v>1.3005110386762898E-2</v>
      </c>
      <c r="Q33" s="10">
        <f t="shared" si="5"/>
        <v>33387.900999999998</v>
      </c>
      <c r="AA33" s="1">
        <v>7</v>
      </c>
      <c r="AC33" s="1" t="s">
        <v>45</v>
      </c>
      <c r="AE33" s="1" t="s">
        <v>36</v>
      </c>
    </row>
    <row r="34" spans="1:31">
      <c r="A34" s="1" t="s">
        <v>48</v>
      </c>
      <c r="B34" s="8"/>
      <c r="C34" s="1">
        <v>48689.375</v>
      </c>
      <c r="D34" s="1">
        <v>8.0000000000000002E-3</v>
      </c>
      <c r="E34" s="1">
        <f t="shared" si="1"/>
        <v>5146.8619406157386</v>
      </c>
      <c r="F34" s="1">
        <f t="shared" si="0"/>
        <v>5147</v>
      </c>
      <c r="I34" s="11">
        <v>-9.645979999913834E-2</v>
      </c>
      <c r="O34" s="1">
        <f t="shared" si="4"/>
        <v>1.3252558911480408E-2</v>
      </c>
      <c r="Q34" s="10">
        <f t="shared" si="5"/>
        <v>33670.875</v>
      </c>
      <c r="AA34" s="1">
        <v>11</v>
      </c>
      <c r="AC34" s="1" t="s">
        <v>45</v>
      </c>
      <c r="AE34" s="1" t="s">
        <v>36</v>
      </c>
    </row>
    <row r="35" spans="1:31">
      <c r="A35" s="1" t="s">
        <v>48</v>
      </c>
      <c r="B35" s="8"/>
      <c r="C35" s="1">
        <v>48733.379000000001</v>
      </c>
      <c r="D35" s="1">
        <v>6.0000000000000001E-3</v>
      </c>
      <c r="E35" s="1">
        <f t="shared" si="1"/>
        <v>5209.8432566166639</v>
      </c>
      <c r="F35" s="1">
        <f t="shared" si="0"/>
        <v>5210</v>
      </c>
      <c r="I35" s="11">
        <v>-0.10951399999612477</v>
      </c>
      <c r="O35" s="1">
        <f t="shared" si="4"/>
        <v>1.3291050904214244E-2</v>
      </c>
      <c r="Q35" s="10">
        <f t="shared" si="5"/>
        <v>33714.879000000001</v>
      </c>
      <c r="AA35" s="1">
        <v>9</v>
      </c>
      <c r="AC35" s="1" t="s">
        <v>45</v>
      </c>
      <c r="AE35" s="1" t="s">
        <v>36</v>
      </c>
    </row>
    <row r="36" spans="1:31">
      <c r="A36" s="1" t="s">
        <v>48</v>
      </c>
      <c r="B36" s="8"/>
      <c r="C36" s="1">
        <v>48763.421000000002</v>
      </c>
      <c r="D36" s="1">
        <v>6.0000000000000001E-3</v>
      </c>
      <c r="E36" s="1">
        <f t="shared" si="1"/>
        <v>5252.8412725992976</v>
      </c>
      <c r="F36" s="1">
        <f t="shared" si="0"/>
        <v>5253</v>
      </c>
      <c r="I36" s="11">
        <v>-0.11090019999392098</v>
      </c>
      <c r="O36" s="1">
        <f t="shared" si="4"/>
        <v>1.3317323216715115E-2</v>
      </c>
      <c r="Q36" s="10">
        <f t="shared" si="5"/>
        <v>33744.921000000002</v>
      </c>
      <c r="AA36" s="1">
        <v>8</v>
      </c>
      <c r="AC36" s="1" t="s">
        <v>45</v>
      </c>
      <c r="AE36" s="1" t="s">
        <v>36</v>
      </c>
    </row>
    <row r="37" spans="1:31">
      <c r="A37" s="1" t="s">
        <v>48</v>
      </c>
      <c r="B37" s="8"/>
      <c r="C37" s="1">
        <v>48770.402999999998</v>
      </c>
      <c r="D37" s="1">
        <v>6.0000000000000001E-3</v>
      </c>
      <c r="E37" s="1">
        <f t="shared" si="1"/>
        <v>5262.8343538718691</v>
      </c>
      <c r="F37" s="1">
        <f t="shared" si="0"/>
        <v>5263</v>
      </c>
      <c r="I37" s="11">
        <v>-0.11573420000058832</v>
      </c>
      <c r="O37" s="1">
        <f t="shared" si="4"/>
        <v>1.3323433056831598E-2</v>
      </c>
      <c r="Q37" s="10">
        <f t="shared" si="5"/>
        <v>33751.902999999998</v>
      </c>
      <c r="AA37" s="1">
        <v>10</v>
      </c>
      <c r="AC37" s="1" t="s">
        <v>45</v>
      </c>
      <c r="AE37" s="1" t="s">
        <v>36</v>
      </c>
    </row>
    <row r="38" spans="1:31">
      <c r="A38" s="1" t="s">
        <v>49</v>
      </c>
      <c r="B38" s="8"/>
      <c r="C38" s="1">
        <v>49090.392999999996</v>
      </c>
      <c r="D38" s="1">
        <v>8.0000000000000002E-3</v>
      </c>
      <c r="E38" s="1">
        <f t="shared" si="1"/>
        <v>5720.8243390353891</v>
      </c>
      <c r="F38" s="1">
        <f t="shared" si="0"/>
        <v>5721</v>
      </c>
      <c r="I38" s="11">
        <v>-0.12273139999888372</v>
      </c>
      <c r="O38" s="1">
        <f t="shared" si="4"/>
        <v>1.3603263734166461E-2</v>
      </c>
      <c r="Q38" s="10">
        <f t="shared" si="5"/>
        <v>34071.892999999996</v>
      </c>
      <c r="AA38" s="1">
        <v>11</v>
      </c>
      <c r="AC38" s="1" t="s">
        <v>45</v>
      </c>
      <c r="AE38" s="1" t="s">
        <v>36</v>
      </c>
    </row>
    <row r="39" spans="1:31">
      <c r="A39" s="1" t="s">
        <v>49</v>
      </c>
      <c r="B39" s="8"/>
      <c r="C39" s="1">
        <v>49097.394</v>
      </c>
      <c r="D39" s="1">
        <v>7.0000000000000001E-3</v>
      </c>
      <c r="E39" s="1">
        <f t="shared" si="1"/>
        <v>5730.8446143131532</v>
      </c>
      <c r="F39" s="1">
        <f t="shared" si="0"/>
        <v>5731</v>
      </c>
      <c r="I39" s="11">
        <v>-0.10856539999804227</v>
      </c>
      <c r="O39" s="1">
        <f t="shared" si="4"/>
        <v>1.3609373574282942E-2</v>
      </c>
      <c r="Q39" s="10">
        <f t="shared" si="5"/>
        <v>34078.894</v>
      </c>
      <c r="AA39" s="1">
        <v>11</v>
      </c>
      <c r="AC39" s="1" t="s">
        <v>45</v>
      </c>
      <c r="AE39" s="1" t="s">
        <v>36</v>
      </c>
    </row>
    <row r="40" spans="1:31">
      <c r="A40" s="1" t="s">
        <v>49</v>
      </c>
      <c r="B40" s="8" t="s">
        <v>38</v>
      </c>
      <c r="C40" s="1">
        <v>49163.427000000003</v>
      </c>
      <c r="D40" s="1">
        <v>6.0000000000000001E-3</v>
      </c>
      <c r="E40" s="1">
        <f t="shared" si="1"/>
        <v>5825.3552324271704</v>
      </c>
      <c r="F40" s="1">
        <f t="shared" si="0"/>
        <v>5825.5</v>
      </c>
      <c r="I40" s="11">
        <v>-0.10114669999165926</v>
      </c>
      <c r="O40" s="1">
        <f t="shared" si="4"/>
        <v>1.3667111563383695E-2</v>
      </c>
      <c r="Q40" s="10">
        <f t="shared" si="5"/>
        <v>34144.927000000003</v>
      </c>
      <c r="AA40" s="1">
        <v>6</v>
      </c>
      <c r="AC40" s="1" t="s">
        <v>45</v>
      </c>
      <c r="AE40" s="1" t="s">
        <v>36</v>
      </c>
    </row>
    <row r="41" spans="1:31">
      <c r="A41" s="1" t="s">
        <v>50</v>
      </c>
      <c r="C41" s="1">
        <v>50099.409</v>
      </c>
      <c r="D41" s="1">
        <v>4.0000000000000001E-3</v>
      </c>
      <c r="E41" s="1">
        <f t="shared" si="1"/>
        <v>7164.992040744065</v>
      </c>
      <c r="F41" s="1">
        <f t="shared" si="0"/>
        <v>7165</v>
      </c>
      <c r="G41" s="1">
        <f t="shared" si="2"/>
        <v>-5.5609999981243163E-3</v>
      </c>
      <c r="I41" s="1">
        <f>G41</f>
        <v>-5.5609999981243163E-3</v>
      </c>
      <c r="O41" s="1">
        <f t="shared" si="4"/>
        <v>1.4485524646986424E-2</v>
      </c>
      <c r="Q41" s="10">
        <f t="shared" si="5"/>
        <v>35080.909</v>
      </c>
      <c r="AA41" s="1">
        <v>6</v>
      </c>
      <c r="AC41" s="1" t="s">
        <v>51</v>
      </c>
      <c r="AE41" s="1" t="s">
        <v>36</v>
      </c>
    </row>
    <row r="42" spans="1:31">
      <c r="A42" s="1" t="s">
        <v>52</v>
      </c>
      <c r="C42" s="1">
        <v>50194.438999999998</v>
      </c>
      <c r="D42" s="1">
        <v>4.0000000000000001E-3</v>
      </c>
      <c r="E42" s="1">
        <f t="shared" si="1"/>
        <v>7301.0050045557127</v>
      </c>
      <c r="F42" s="1">
        <f t="shared" si="0"/>
        <v>7301</v>
      </c>
      <c r="G42" s="1">
        <f t="shared" si="2"/>
        <v>3.4966000021086074E-3</v>
      </c>
      <c r="I42" s="1">
        <f>G42</f>
        <v>3.4966000021086074E-3</v>
      </c>
      <c r="O42" s="1">
        <f t="shared" si="4"/>
        <v>1.4568618472570575E-2</v>
      </c>
      <c r="Q42" s="10">
        <f t="shared" si="5"/>
        <v>35175.938999999998</v>
      </c>
      <c r="AA42" s="1">
        <v>7</v>
      </c>
      <c r="AC42" s="1" t="s">
        <v>51</v>
      </c>
      <c r="AE42" s="1" t="s">
        <v>36</v>
      </c>
    </row>
    <row r="43" spans="1:31">
      <c r="A43" s="4" t="s">
        <v>53</v>
      </c>
      <c r="B43" s="8"/>
      <c r="C43" s="12">
        <v>52704.807000000001</v>
      </c>
      <c r="D43" s="13">
        <v>2.9999999999999997E-4</v>
      </c>
      <c r="E43" s="1">
        <f>+(C43-C$7)/C$8</f>
        <v>10894.002920349909</v>
      </c>
      <c r="F43" s="1">
        <f t="shared" si="0"/>
        <v>10894</v>
      </c>
      <c r="G43" s="1">
        <f>+C43-(C$7+F43*C$8)</f>
        <v>2.040400002442766E-3</v>
      </c>
      <c r="J43" s="1">
        <f>G43</f>
        <v>2.040400002442766E-3</v>
      </c>
      <c r="O43" s="1">
        <f>+C$11+C$12*F43</f>
        <v>1.6763884026422465E-2</v>
      </c>
      <c r="Q43" s="10">
        <f>+C43-15018.5</f>
        <v>37686.307000000001</v>
      </c>
    </row>
    <row r="44" spans="1:31">
      <c r="A44" s="4" t="s">
        <v>54</v>
      </c>
      <c r="B44" s="8" t="s">
        <v>55</v>
      </c>
      <c r="C44" s="1">
        <v>53024.841</v>
      </c>
      <c r="D44" s="13">
        <v>1E-3</v>
      </c>
      <c r="E44" s="1">
        <f>+(C44-C$7)/C$8</f>
        <v>11352.055881104377</v>
      </c>
      <c r="F44" s="1">
        <f t="shared" si="0"/>
        <v>11352</v>
      </c>
      <c r="G44" s="1">
        <f>+C44-(C$7+F44*C$8)</f>
        <v>3.9043200005835388E-2</v>
      </c>
      <c r="J44" s="1">
        <f>G44</f>
        <v>3.9043200005835388E-2</v>
      </c>
      <c r="O44" s="1">
        <f>+C$11+C$12*F44</f>
        <v>1.7043714703757332E-2</v>
      </c>
      <c r="Q44" s="10">
        <f>+C44-15018.5</f>
        <v>38006.341</v>
      </c>
    </row>
    <row r="45" spans="1:31">
      <c r="A45" s="4" t="s">
        <v>54</v>
      </c>
      <c r="B45" s="8" t="s">
        <v>38</v>
      </c>
      <c r="C45" s="14">
        <v>53053.833599999998</v>
      </c>
      <c r="D45" s="13">
        <v>2.0000000000000001E-4</v>
      </c>
      <c r="E45" s="1">
        <f>+(C45-C$7)/C$8</f>
        <v>11393.551929242916</v>
      </c>
      <c r="F45" s="1">
        <f t="shared" si="0"/>
        <v>11393.5</v>
      </c>
      <c r="G45" s="1">
        <f>+C45-(C$7+F45*C$8)</f>
        <v>3.6282100001699291E-2</v>
      </c>
      <c r="J45" s="1">
        <f>G45</f>
        <v>3.6282100001699291E-2</v>
      </c>
      <c r="O45" s="1">
        <f>+C$11+C$12*F45</f>
        <v>1.7069070540240729E-2</v>
      </c>
      <c r="Q45" s="10">
        <f>+C45-15018.5</f>
        <v>38035.333599999998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workbookViewId="0">
      <selection activeCell="C1" sqref="C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4" ht="20.25">
      <c r="A1" s="2" t="s">
        <v>0</v>
      </c>
      <c r="C1" s="3" t="s">
        <v>56</v>
      </c>
    </row>
    <row r="2" spans="1:4">
      <c r="A2" s="1" t="s">
        <v>2</v>
      </c>
    </row>
    <row r="4" spans="1:4">
      <c r="A4" s="4" t="s">
        <v>3</v>
      </c>
      <c r="C4" s="5">
        <v>45093.347999999998</v>
      </c>
      <c r="D4" s="6">
        <v>0.69868339999999995</v>
      </c>
    </row>
    <row r="6" spans="1:4">
      <c r="A6" s="4" t="s">
        <v>4</v>
      </c>
    </row>
    <row r="7" spans="1:4">
      <c r="A7" s="1" t="s">
        <v>5</v>
      </c>
      <c r="C7" s="1">
        <f>+C4</f>
        <v>45093.347999999998</v>
      </c>
    </row>
    <row r="8" spans="1:4">
      <c r="A8" s="1" t="s">
        <v>6</v>
      </c>
      <c r="C8" s="1">
        <f>+D4</f>
        <v>0.69868339999999995</v>
      </c>
    </row>
    <row r="10" spans="1:4">
      <c r="C10" s="7" t="s">
        <v>7</v>
      </c>
      <c r="D10" s="7" t="s">
        <v>8</v>
      </c>
    </row>
    <row r="11" spans="1:4">
      <c r="A11" s="1" t="s">
        <v>9</v>
      </c>
      <c r="C11" s="1">
        <f>INTERCEPT(G40:G98,F40:F98)</f>
        <v>-0.29880258549463568</v>
      </c>
      <c r="D11" s="8"/>
    </row>
    <row r="12" spans="1:4">
      <c r="A12" s="1" t="s">
        <v>10</v>
      </c>
      <c r="C12" s="1">
        <f>SLOPE(G40:G98,F40:F98)</f>
        <v>9.1069240781093595E-5</v>
      </c>
      <c r="D12" s="8"/>
    </row>
    <row r="13" spans="1:4">
      <c r="A13" s="1" t="s">
        <v>11</v>
      </c>
      <c r="C13" s="8" t="s">
        <v>12</v>
      </c>
      <c r="D13" s="8"/>
    </row>
    <row r="14" spans="1:4">
      <c r="A14" s="1" t="s">
        <v>13</v>
      </c>
    </row>
    <row r="15" spans="1:4">
      <c r="A15" s="4" t="s">
        <v>14</v>
      </c>
      <c r="C15" s="1">
        <v>52704.807000000001</v>
      </c>
    </row>
    <row r="16" spans="1:4">
      <c r="A16" s="4" t="s">
        <v>15</v>
      </c>
      <c r="C16" s="1">
        <f>+C8+C12</f>
        <v>0.69877446924078102</v>
      </c>
    </row>
    <row r="18" spans="1:31">
      <c r="A18" s="4" t="s">
        <v>16</v>
      </c>
      <c r="C18" s="5">
        <f>+C15</f>
        <v>52704.807000000001</v>
      </c>
      <c r="D18" s="6">
        <f>+C16</f>
        <v>0.69877446924078102</v>
      </c>
    </row>
    <row r="20" spans="1:31">
      <c r="A20" s="7" t="s">
        <v>17</v>
      </c>
      <c r="B20" s="7" t="s">
        <v>18</v>
      </c>
      <c r="C20" s="7" t="s">
        <v>19</v>
      </c>
      <c r="D20" s="7" t="s">
        <v>20</v>
      </c>
      <c r="E20" s="7" t="s">
        <v>21</v>
      </c>
      <c r="F20" s="7" t="s">
        <v>22</v>
      </c>
      <c r="G20" s="7" t="s">
        <v>23</v>
      </c>
      <c r="H20" s="9" t="s">
        <v>24</v>
      </c>
      <c r="I20" s="9" t="s">
        <v>25</v>
      </c>
      <c r="J20" s="9" t="s">
        <v>26</v>
      </c>
      <c r="K20" s="9" t="s">
        <v>27</v>
      </c>
      <c r="L20" s="9" t="s">
        <v>28</v>
      </c>
      <c r="M20" s="9" t="s">
        <v>29</v>
      </c>
      <c r="N20" s="9" t="s">
        <v>30</v>
      </c>
      <c r="O20" s="9" t="s">
        <v>31</v>
      </c>
      <c r="P20" s="9" t="s">
        <v>32</v>
      </c>
      <c r="Q20" s="7" t="s">
        <v>33</v>
      </c>
    </row>
    <row r="21" spans="1:31">
      <c r="A21" s="1" t="s">
        <v>34</v>
      </c>
      <c r="C21" s="1">
        <v>42570.427000000003</v>
      </c>
      <c r="D21" s="8"/>
      <c r="E21" s="1">
        <f t="shared" ref="E21:E45" si="0">+(C21-C$7)/C$8</f>
        <v>-3610.9645656387356</v>
      </c>
      <c r="F21" s="15">
        <f>ROUND(2*E21,0)/2+1</f>
        <v>-3610</v>
      </c>
      <c r="G21" s="1">
        <f t="shared" ref="G21:G45" si="1">+C21-(C$7+F21*C$8)</f>
        <v>-0.6739259999958449</v>
      </c>
      <c r="I21" s="1">
        <f>G21</f>
        <v>-0.6739259999958449</v>
      </c>
      <c r="O21" s="1">
        <f t="shared" ref="O21:O45" si="2">+C$11+C$12*F21</f>
        <v>-0.62756254471438355</v>
      </c>
      <c r="Q21" s="10">
        <f t="shared" ref="Q21:Q45" si="3">+C21-15018.5</f>
        <v>27551.927000000003</v>
      </c>
      <c r="AA21" s="1">
        <v>5</v>
      </c>
      <c r="AC21" s="1" t="s">
        <v>35</v>
      </c>
      <c r="AE21" s="1" t="s">
        <v>36</v>
      </c>
    </row>
    <row r="22" spans="1:31">
      <c r="A22" s="1" t="s">
        <v>37</v>
      </c>
      <c r="B22" s="8" t="s">
        <v>38</v>
      </c>
      <c r="C22" s="1">
        <v>44299.317999999999</v>
      </c>
      <c r="D22" s="8"/>
      <c r="E22" s="1">
        <f t="shared" si="0"/>
        <v>-1136.4661018137813</v>
      </c>
      <c r="F22" s="16">
        <f>ROUND(2*E22,0)/2+0.5</f>
        <v>-1136</v>
      </c>
      <c r="G22" s="1">
        <f t="shared" si="1"/>
        <v>-0.32565759999852162</v>
      </c>
      <c r="I22" s="1">
        <f>G22</f>
        <v>-0.32565759999852162</v>
      </c>
      <c r="O22" s="1">
        <f t="shared" si="2"/>
        <v>-0.40225724302195798</v>
      </c>
      <c r="Q22" s="10">
        <f t="shared" si="3"/>
        <v>29280.817999999999</v>
      </c>
      <c r="AA22" s="1">
        <v>9</v>
      </c>
      <c r="AC22" s="1" t="s">
        <v>35</v>
      </c>
      <c r="AE22" s="1" t="s">
        <v>36</v>
      </c>
    </row>
    <row r="23" spans="1:31">
      <c r="A23" s="1" t="s">
        <v>24</v>
      </c>
      <c r="C23" s="1">
        <v>45093.347999999998</v>
      </c>
      <c r="D23" s="8" t="s">
        <v>12</v>
      </c>
      <c r="E23" s="1">
        <f t="shared" si="0"/>
        <v>0</v>
      </c>
      <c r="F23" s="16">
        <f>ROUND(2*E23,0)/2+0.5</f>
        <v>0.5</v>
      </c>
      <c r="G23" s="1">
        <f t="shared" si="1"/>
        <v>-0.34934169999905862</v>
      </c>
      <c r="H23" s="1">
        <f>+G23</f>
        <v>-0.34934169999905862</v>
      </c>
      <c r="O23" s="1">
        <f t="shared" si="2"/>
        <v>-0.29875705087424514</v>
      </c>
      <c r="Q23" s="10">
        <f t="shared" si="3"/>
        <v>30074.847999999998</v>
      </c>
    </row>
    <row r="24" spans="1:31">
      <c r="A24" s="1" t="s">
        <v>39</v>
      </c>
      <c r="B24" s="8" t="s">
        <v>38</v>
      </c>
      <c r="C24" s="1">
        <v>45101.381000000001</v>
      </c>
      <c r="D24" s="8"/>
      <c r="E24" s="1">
        <f t="shared" si="0"/>
        <v>11.497339138160553</v>
      </c>
      <c r="F24" s="16">
        <f>ROUND(2*E24,0)/2+0.5</f>
        <v>12</v>
      </c>
      <c r="G24" s="1">
        <f t="shared" si="1"/>
        <v>-0.35120079999614973</v>
      </c>
      <c r="I24" s="1">
        <f t="shared" ref="I24:I42" si="4">G24</f>
        <v>-0.35120079999614973</v>
      </c>
      <c r="O24" s="1">
        <f t="shared" si="2"/>
        <v>-0.29770975460526256</v>
      </c>
      <c r="Q24" s="10">
        <f t="shared" si="3"/>
        <v>30082.881000000001</v>
      </c>
      <c r="AA24" s="1">
        <v>6</v>
      </c>
      <c r="AC24" s="1" t="s">
        <v>40</v>
      </c>
      <c r="AE24" s="1" t="s">
        <v>36</v>
      </c>
    </row>
    <row r="25" spans="1:31">
      <c r="A25" s="1" t="s">
        <v>39</v>
      </c>
      <c r="B25" s="8" t="s">
        <v>38</v>
      </c>
      <c r="C25" s="1">
        <v>45115.364999999998</v>
      </c>
      <c r="D25" s="8"/>
      <c r="E25" s="1">
        <f t="shared" si="0"/>
        <v>31.512126951921037</v>
      </c>
      <c r="F25" s="16">
        <f>ROUND(2*E25,0)/2+0.5</f>
        <v>32</v>
      </c>
      <c r="G25" s="1">
        <f t="shared" si="1"/>
        <v>-0.34086879999813391</v>
      </c>
      <c r="I25" s="1">
        <f t="shared" si="4"/>
        <v>-0.34086879999813391</v>
      </c>
      <c r="O25" s="1">
        <f t="shared" si="2"/>
        <v>-0.29588836978964067</v>
      </c>
      <c r="Q25" s="10">
        <f t="shared" si="3"/>
        <v>30096.864999999998</v>
      </c>
      <c r="AA25" s="1">
        <v>6</v>
      </c>
      <c r="AC25" s="1" t="s">
        <v>40</v>
      </c>
      <c r="AE25" s="1" t="s">
        <v>36</v>
      </c>
    </row>
    <row r="26" spans="1:31">
      <c r="A26" s="1" t="s">
        <v>41</v>
      </c>
      <c r="B26" s="8" t="s">
        <v>38</v>
      </c>
      <c r="C26" s="1">
        <v>46861.374000000003</v>
      </c>
      <c r="D26" s="8"/>
      <c r="E26" s="1">
        <f t="shared" si="0"/>
        <v>2530.5109581822117</v>
      </c>
      <c r="F26" s="1">
        <f>ROUND(2*E26,0)/2</f>
        <v>2530.5</v>
      </c>
      <c r="G26" s="1">
        <f t="shared" si="1"/>
        <v>7.6563000038731843E-3</v>
      </c>
      <c r="I26" s="1">
        <f t="shared" si="4"/>
        <v>7.6563000038731843E-3</v>
      </c>
      <c r="O26" s="1">
        <f t="shared" si="2"/>
        <v>-6.8351871698078326E-2</v>
      </c>
      <c r="Q26" s="10">
        <f t="shared" si="3"/>
        <v>31842.874000000003</v>
      </c>
      <c r="AA26" s="1">
        <v>8</v>
      </c>
      <c r="AC26" s="1" t="s">
        <v>42</v>
      </c>
      <c r="AE26" s="1" t="s">
        <v>36</v>
      </c>
    </row>
    <row r="27" spans="1:31">
      <c r="A27" s="1" t="s">
        <v>43</v>
      </c>
      <c r="B27" s="8"/>
      <c r="C27" s="1">
        <v>47208.275999999998</v>
      </c>
      <c r="D27" s="8"/>
      <c r="E27" s="1">
        <f t="shared" si="0"/>
        <v>3027.0191047905246</v>
      </c>
      <c r="F27" s="1">
        <f>ROUND(2*E27,0)/2</f>
        <v>3027</v>
      </c>
      <c r="G27" s="1">
        <f t="shared" si="1"/>
        <v>1.334820000192849E-2</v>
      </c>
      <c r="I27" s="1">
        <f t="shared" si="4"/>
        <v>1.334820000192849E-2</v>
      </c>
      <c r="O27" s="1">
        <f t="shared" si="2"/>
        <v>-2.3135993650265363E-2</v>
      </c>
      <c r="Q27" s="10">
        <f t="shared" si="3"/>
        <v>32189.775999999998</v>
      </c>
      <c r="AA27" s="1">
        <v>8</v>
      </c>
      <c r="AC27" s="1" t="s">
        <v>40</v>
      </c>
      <c r="AE27" s="1" t="s">
        <v>36</v>
      </c>
    </row>
    <row r="28" spans="1:31">
      <c r="A28" s="1" t="s">
        <v>44</v>
      </c>
      <c r="B28" s="8"/>
      <c r="C28" s="1">
        <v>47595.358999999997</v>
      </c>
      <c r="D28" s="8"/>
      <c r="E28" s="1">
        <f t="shared" si="0"/>
        <v>3581.0368473045141</v>
      </c>
      <c r="F28" s="1">
        <f>ROUND(2*E28,0)/2</f>
        <v>3581</v>
      </c>
      <c r="G28" s="1">
        <f t="shared" si="1"/>
        <v>2.5744599995960016E-2</v>
      </c>
      <c r="I28" s="1">
        <f t="shared" si="4"/>
        <v>2.5744599995960016E-2</v>
      </c>
      <c r="O28" s="1">
        <f t="shared" si="2"/>
        <v>2.7316365742460491E-2</v>
      </c>
      <c r="Q28" s="10">
        <f t="shared" si="3"/>
        <v>32576.858999999997</v>
      </c>
      <c r="AA28" s="1">
        <v>7</v>
      </c>
      <c r="AC28" s="1" t="s">
        <v>45</v>
      </c>
      <c r="AE28" s="1" t="s">
        <v>36</v>
      </c>
    </row>
    <row r="29" spans="1:31">
      <c r="A29" s="1" t="s">
        <v>44</v>
      </c>
      <c r="B29" s="8"/>
      <c r="C29" s="1">
        <v>47597.428</v>
      </c>
      <c r="D29" s="8"/>
      <c r="E29" s="1">
        <f t="shared" si="0"/>
        <v>3583.9981313424678</v>
      </c>
      <c r="F29" s="1">
        <f>ROUND(2*E29,0)/2</f>
        <v>3584</v>
      </c>
      <c r="G29" s="1">
        <f t="shared" si="1"/>
        <v>-1.3055999952484854E-3</v>
      </c>
      <c r="I29" s="1">
        <f t="shared" si="4"/>
        <v>-1.3055999952484854E-3</v>
      </c>
      <c r="O29" s="1">
        <f t="shared" si="2"/>
        <v>2.7589573464803785E-2</v>
      </c>
      <c r="Q29" s="10">
        <f t="shared" si="3"/>
        <v>32578.928</v>
      </c>
      <c r="AA29" s="1">
        <v>8</v>
      </c>
      <c r="AC29" s="1" t="s">
        <v>45</v>
      </c>
      <c r="AE29" s="1" t="s">
        <v>36</v>
      </c>
    </row>
    <row r="30" spans="1:31">
      <c r="A30" s="1" t="s">
        <v>46</v>
      </c>
      <c r="B30" s="8" t="s">
        <v>38</v>
      </c>
      <c r="C30" s="1">
        <v>48361.343000000001</v>
      </c>
      <c r="D30" s="8"/>
      <c r="E30" s="1">
        <f t="shared" si="0"/>
        <v>4677.3617349431843</v>
      </c>
      <c r="F30" s="11">
        <f t="shared" ref="F30:F42" si="5">ROUND(2*E30,0)/2-0.5</f>
        <v>4677</v>
      </c>
      <c r="G30" s="1">
        <f t="shared" si="1"/>
        <v>0.25273820000438718</v>
      </c>
      <c r="I30" s="1">
        <f t="shared" si="4"/>
        <v>0.25273820000438718</v>
      </c>
      <c r="O30" s="1">
        <f t="shared" si="2"/>
        <v>0.12712825363853908</v>
      </c>
      <c r="Q30" s="10">
        <f t="shared" si="3"/>
        <v>33342.843000000001</v>
      </c>
      <c r="AA30" s="1">
        <v>8</v>
      </c>
      <c r="AC30" s="1" t="s">
        <v>45</v>
      </c>
      <c r="AE30" s="1" t="s">
        <v>36</v>
      </c>
    </row>
    <row r="31" spans="1:31">
      <c r="A31" s="1" t="s">
        <v>46</v>
      </c>
      <c r="B31" s="8"/>
      <c r="C31" s="1">
        <v>48362.375999999997</v>
      </c>
      <c r="D31" s="8"/>
      <c r="E31" s="1">
        <f t="shared" si="0"/>
        <v>4678.8402300670068</v>
      </c>
      <c r="F31" s="11">
        <f t="shared" si="5"/>
        <v>4678.5</v>
      </c>
      <c r="G31" s="1">
        <f t="shared" si="1"/>
        <v>0.23771309999574441</v>
      </c>
      <c r="I31" s="1">
        <f t="shared" si="4"/>
        <v>0.23771309999574441</v>
      </c>
      <c r="O31" s="1">
        <f t="shared" si="2"/>
        <v>0.12726485749971073</v>
      </c>
      <c r="Q31" s="10">
        <f t="shared" si="3"/>
        <v>33343.875999999997</v>
      </c>
      <c r="AA31" s="1">
        <v>8</v>
      </c>
      <c r="AC31" s="1" t="s">
        <v>45</v>
      </c>
      <c r="AE31" s="1" t="s">
        <v>36</v>
      </c>
    </row>
    <row r="32" spans="1:31">
      <c r="A32" s="1" t="s">
        <v>47</v>
      </c>
      <c r="B32" s="8"/>
      <c r="C32" s="1">
        <v>48385.425999999999</v>
      </c>
      <c r="D32" s="1">
        <v>4.0000000000000001E-3</v>
      </c>
      <c r="E32" s="1">
        <f t="shared" si="0"/>
        <v>4711.8308521427607</v>
      </c>
      <c r="F32" s="11">
        <f t="shared" si="5"/>
        <v>4711.5</v>
      </c>
      <c r="G32" s="1">
        <f t="shared" si="1"/>
        <v>0.23116090000257827</v>
      </c>
      <c r="I32" s="1">
        <f t="shared" si="4"/>
        <v>0.23116090000257827</v>
      </c>
      <c r="O32" s="1">
        <f t="shared" si="2"/>
        <v>0.13027014244548679</v>
      </c>
      <c r="Q32" s="10">
        <f t="shared" si="3"/>
        <v>33366.925999999999</v>
      </c>
      <c r="AA32" s="1">
        <v>12</v>
      </c>
      <c r="AC32" s="1" t="s">
        <v>45</v>
      </c>
      <c r="AE32" s="1" t="s">
        <v>36</v>
      </c>
    </row>
    <row r="33" spans="1:31">
      <c r="A33" s="1" t="s">
        <v>47</v>
      </c>
      <c r="B33" s="8"/>
      <c r="C33" s="1">
        <v>48406.400999999998</v>
      </c>
      <c r="D33" s="1">
        <v>3.0000000000000001E-3</v>
      </c>
      <c r="E33" s="1">
        <f t="shared" si="0"/>
        <v>4741.8516025999761</v>
      </c>
      <c r="F33" s="11">
        <f t="shared" si="5"/>
        <v>4741.5</v>
      </c>
      <c r="G33" s="1">
        <f t="shared" si="1"/>
        <v>0.24565889999939827</v>
      </c>
      <c r="I33" s="1">
        <f t="shared" si="4"/>
        <v>0.24565889999939827</v>
      </c>
      <c r="O33" s="1">
        <f t="shared" si="2"/>
        <v>0.13300221966891962</v>
      </c>
      <c r="Q33" s="10">
        <f t="shared" si="3"/>
        <v>33387.900999999998</v>
      </c>
      <c r="AA33" s="1">
        <v>7</v>
      </c>
      <c r="AC33" s="1" t="s">
        <v>45</v>
      </c>
      <c r="AE33" s="1" t="s">
        <v>36</v>
      </c>
    </row>
    <row r="34" spans="1:31">
      <c r="A34" s="1" t="s">
        <v>48</v>
      </c>
      <c r="B34" s="8"/>
      <c r="C34" s="1">
        <v>48689.375</v>
      </c>
      <c r="D34" s="1">
        <v>8.0000000000000002E-3</v>
      </c>
      <c r="E34" s="1">
        <f t="shared" si="0"/>
        <v>5146.8619406157386</v>
      </c>
      <c r="F34" s="11">
        <f t="shared" si="5"/>
        <v>5146.5</v>
      </c>
      <c r="G34" s="1">
        <f t="shared" si="1"/>
        <v>0.25288189999992028</v>
      </c>
      <c r="I34" s="1">
        <f t="shared" si="4"/>
        <v>0.25288189999992028</v>
      </c>
      <c r="O34" s="1">
        <f t="shared" si="2"/>
        <v>0.16988526218526251</v>
      </c>
      <c r="Q34" s="10">
        <f t="shared" si="3"/>
        <v>33670.875</v>
      </c>
      <c r="AA34" s="1">
        <v>11</v>
      </c>
      <c r="AC34" s="1" t="s">
        <v>45</v>
      </c>
      <c r="AE34" s="1" t="s">
        <v>36</v>
      </c>
    </row>
    <row r="35" spans="1:31">
      <c r="A35" s="1" t="s">
        <v>48</v>
      </c>
      <c r="B35" s="8"/>
      <c r="C35" s="1">
        <v>48733.379000000001</v>
      </c>
      <c r="D35" s="1">
        <v>6.0000000000000001E-3</v>
      </c>
      <c r="E35" s="1">
        <f t="shared" si="0"/>
        <v>5209.8432566166639</v>
      </c>
      <c r="F35" s="11">
        <f t="shared" si="5"/>
        <v>5209.5</v>
      </c>
      <c r="G35" s="1">
        <f t="shared" si="1"/>
        <v>0.23982770000293385</v>
      </c>
      <c r="I35" s="1">
        <f t="shared" si="4"/>
        <v>0.23982770000293385</v>
      </c>
      <c r="O35" s="1">
        <f t="shared" si="2"/>
        <v>0.1756226243544714</v>
      </c>
      <c r="Q35" s="10">
        <f t="shared" si="3"/>
        <v>33714.879000000001</v>
      </c>
      <c r="AA35" s="1">
        <v>9</v>
      </c>
      <c r="AC35" s="1" t="s">
        <v>45</v>
      </c>
      <c r="AE35" s="1" t="s">
        <v>36</v>
      </c>
    </row>
    <row r="36" spans="1:31">
      <c r="A36" s="1" t="s">
        <v>48</v>
      </c>
      <c r="B36" s="8"/>
      <c r="C36" s="1">
        <v>48763.421000000002</v>
      </c>
      <c r="D36" s="1">
        <v>6.0000000000000001E-3</v>
      </c>
      <c r="E36" s="1">
        <f t="shared" si="0"/>
        <v>5252.8412725992976</v>
      </c>
      <c r="F36" s="11">
        <f t="shared" si="5"/>
        <v>5252.5</v>
      </c>
      <c r="G36" s="1">
        <f t="shared" si="1"/>
        <v>0.23844150000513764</v>
      </c>
      <c r="I36" s="1">
        <f t="shared" si="4"/>
        <v>0.23844150000513764</v>
      </c>
      <c r="O36" s="1">
        <f t="shared" si="2"/>
        <v>0.17953860170805841</v>
      </c>
      <c r="Q36" s="10">
        <f t="shared" si="3"/>
        <v>33744.921000000002</v>
      </c>
      <c r="AA36" s="1">
        <v>8</v>
      </c>
      <c r="AC36" s="1" t="s">
        <v>45</v>
      </c>
      <c r="AE36" s="1" t="s">
        <v>36</v>
      </c>
    </row>
    <row r="37" spans="1:31">
      <c r="A37" s="1" t="s">
        <v>48</v>
      </c>
      <c r="B37" s="8"/>
      <c r="C37" s="1">
        <v>48770.402999999998</v>
      </c>
      <c r="D37" s="1">
        <v>6.0000000000000001E-3</v>
      </c>
      <c r="E37" s="1">
        <f t="shared" si="0"/>
        <v>5262.8343538718691</v>
      </c>
      <c r="F37" s="11">
        <f t="shared" si="5"/>
        <v>5262.5</v>
      </c>
      <c r="G37" s="1">
        <f t="shared" si="1"/>
        <v>0.2336074999984703</v>
      </c>
      <c r="I37" s="1">
        <f t="shared" si="4"/>
        <v>0.2336074999984703</v>
      </c>
      <c r="O37" s="1">
        <f t="shared" si="2"/>
        <v>0.18044929411586935</v>
      </c>
      <c r="Q37" s="10">
        <f t="shared" si="3"/>
        <v>33751.902999999998</v>
      </c>
      <c r="AA37" s="1">
        <v>10</v>
      </c>
      <c r="AC37" s="1" t="s">
        <v>45</v>
      </c>
      <c r="AE37" s="1" t="s">
        <v>36</v>
      </c>
    </row>
    <row r="38" spans="1:31">
      <c r="A38" s="1" t="s">
        <v>49</v>
      </c>
      <c r="B38" s="8"/>
      <c r="C38" s="1">
        <v>49090.392999999996</v>
      </c>
      <c r="D38" s="1">
        <v>8.0000000000000002E-3</v>
      </c>
      <c r="E38" s="1">
        <f t="shared" si="0"/>
        <v>5720.8243390353891</v>
      </c>
      <c r="F38" s="11">
        <f t="shared" si="5"/>
        <v>5720.5</v>
      </c>
      <c r="G38" s="1">
        <f t="shared" si="1"/>
        <v>0.2266103000001749</v>
      </c>
      <c r="I38" s="1">
        <f t="shared" si="4"/>
        <v>0.2266103000001749</v>
      </c>
      <c r="O38" s="1">
        <f t="shared" si="2"/>
        <v>0.22215900639361019</v>
      </c>
      <c r="Q38" s="10">
        <f t="shared" si="3"/>
        <v>34071.892999999996</v>
      </c>
      <c r="AA38" s="1">
        <v>11</v>
      </c>
      <c r="AC38" s="1" t="s">
        <v>45</v>
      </c>
      <c r="AE38" s="1" t="s">
        <v>36</v>
      </c>
    </row>
    <row r="39" spans="1:31">
      <c r="A39" s="1" t="s">
        <v>49</v>
      </c>
      <c r="B39" s="8"/>
      <c r="C39" s="1">
        <v>49097.394</v>
      </c>
      <c r="D39" s="1">
        <v>7.0000000000000001E-3</v>
      </c>
      <c r="E39" s="1">
        <f t="shared" si="0"/>
        <v>5730.8446143131532</v>
      </c>
      <c r="F39" s="11">
        <f t="shared" si="5"/>
        <v>5730.5</v>
      </c>
      <c r="G39" s="1">
        <f t="shared" si="1"/>
        <v>0.24077630000101635</v>
      </c>
      <c r="I39" s="1">
        <f t="shared" si="4"/>
        <v>0.24077630000101635</v>
      </c>
      <c r="O39" s="1">
        <f t="shared" si="2"/>
        <v>0.22306969880142113</v>
      </c>
      <c r="Q39" s="10">
        <f t="shared" si="3"/>
        <v>34078.894</v>
      </c>
      <c r="AA39" s="1">
        <v>11</v>
      </c>
      <c r="AC39" s="1" t="s">
        <v>45</v>
      </c>
      <c r="AE39" s="1" t="s">
        <v>36</v>
      </c>
    </row>
    <row r="40" spans="1:31">
      <c r="A40" s="1" t="s">
        <v>49</v>
      </c>
      <c r="B40" s="8" t="s">
        <v>38</v>
      </c>
      <c r="C40" s="1">
        <v>49163.427000000003</v>
      </c>
      <c r="D40" s="1">
        <v>6.0000000000000001E-3</v>
      </c>
      <c r="E40" s="1">
        <f t="shared" si="0"/>
        <v>5825.3552324271704</v>
      </c>
      <c r="F40" s="3">
        <f t="shared" si="5"/>
        <v>5825</v>
      </c>
      <c r="G40" s="1">
        <f t="shared" si="1"/>
        <v>0.24819500000739936</v>
      </c>
      <c r="I40" s="1">
        <f t="shared" si="4"/>
        <v>0.24819500000739936</v>
      </c>
      <c r="O40" s="1">
        <f t="shared" si="2"/>
        <v>0.23167574205523456</v>
      </c>
      <c r="Q40" s="10">
        <f t="shared" si="3"/>
        <v>34144.927000000003</v>
      </c>
      <c r="AA40" s="1">
        <v>6</v>
      </c>
      <c r="AC40" s="1" t="s">
        <v>45</v>
      </c>
      <c r="AE40" s="1" t="s">
        <v>36</v>
      </c>
    </row>
    <row r="41" spans="1:31">
      <c r="A41" s="1" t="s">
        <v>50</v>
      </c>
      <c r="C41" s="1">
        <v>50099.409</v>
      </c>
      <c r="D41" s="1">
        <v>4.0000000000000001E-3</v>
      </c>
      <c r="E41" s="1">
        <f t="shared" si="0"/>
        <v>7164.992040744065</v>
      </c>
      <c r="F41" s="3">
        <f t="shared" si="5"/>
        <v>7164.5</v>
      </c>
      <c r="G41" s="1">
        <f t="shared" si="1"/>
        <v>0.3437807000009343</v>
      </c>
      <c r="I41" s="1">
        <f t="shared" si="4"/>
        <v>0.3437807000009343</v>
      </c>
      <c r="O41" s="1">
        <f t="shared" si="2"/>
        <v>0.35366299008150937</v>
      </c>
      <c r="Q41" s="10">
        <f t="shared" si="3"/>
        <v>35080.909</v>
      </c>
      <c r="AA41" s="1">
        <v>6</v>
      </c>
      <c r="AC41" s="1" t="s">
        <v>51</v>
      </c>
      <c r="AE41" s="1" t="s">
        <v>36</v>
      </c>
    </row>
    <row r="42" spans="1:31">
      <c r="A42" s="1" t="s">
        <v>52</v>
      </c>
      <c r="C42" s="1">
        <v>50194.438999999998</v>
      </c>
      <c r="D42" s="1">
        <v>4.0000000000000001E-3</v>
      </c>
      <c r="E42" s="1">
        <f t="shared" si="0"/>
        <v>7301.0050045557127</v>
      </c>
      <c r="F42" s="3">
        <f t="shared" si="5"/>
        <v>7300.5</v>
      </c>
      <c r="G42" s="1">
        <f t="shared" si="1"/>
        <v>0.35283830000116723</v>
      </c>
      <c r="I42" s="1">
        <f t="shared" si="4"/>
        <v>0.35283830000116723</v>
      </c>
      <c r="O42" s="1">
        <f t="shared" si="2"/>
        <v>0.36604840682773809</v>
      </c>
      <c r="Q42" s="10">
        <f t="shared" si="3"/>
        <v>35175.938999999998</v>
      </c>
      <c r="AA42" s="1">
        <v>7</v>
      </c>
      <c r="AC42" s="1" t="s">
        <v>51</v>
      </c>
      <c r="AE42" s="1" t="s">
        <v>36</v>
      </c>
    </row>
    <row r="43" spans="1:31">
      <c r="A43" s="4" t="s">
        <v>53</v>
      </c>
      <c r="B43" s="8"/>
      <c r="C43" s="12">
        <v>52704.807000000001</v>
      </c>
      <c r="D43" s="13">
        <v>2.9999999999999997E-4</v>
      </c>
      <c r="E43" s="1">
        <f t="shared" si="0"/>
        <v>10894.002920349909</v>
      </c>
      <c r="F43" s="17">
        <f>ROUND(2*E43,0)/2-1</f>
        <v>10893</v>
      </c>
      <c r="G43" s="1">
        <f t="shared" si="1"/>
        <v>0.70072380000056</v>
      </c>
      <c r="J43" s="1">
        <f>G43</f>
        <v>0.70072380000056</v>
      </c>
      <c r="O43" s="1">
        <f t="shared" si="2"/>
        <v>0.6932146543338169</v>
      </c>
      <c r="Q43" s="10">
        <f t="shared" si="3"/>
        <v>37686.307000000001</v>
      </c>
    </row>
    <row r="44" spans="1:31">
      <c r="A44" s="4" t="s">
        <v>54</v>
      </c>
      <c r="B44" s="8" t="s">
        <v>55</v>
      </c>
      <c r="C44" s="1">
        <v>53024.841</v>
      </c>
      <c r="D44" s="13">
        <v>1E-3</v>
      </c>
      <c r="E44" s="1">
        <f t="shared" si="0"/>
        <v>11352.055881104377</v>
      </c>
      <c r="F44" s="17">
        <f>ROUND(2*E44,0)/2-1</f>
        <v>11351</v>
      </c>
      <c r="G44" s="1">
        <f t="shared" si="1"/>
        <v>0.73772660000395263</v>
      </c>
      <c r="J44" s="1">
        <f>G44</f>
        <v>0.73772660000395263</v>
      </c>
      <c r="O44" s="1">
        <f t="shared" si="2"/>
        <v>0.73492436661155769</v>
      </c>
      <c r="Q44" s="10">
        <f t="shared" si="3"/>
        <v>38006.341</v>
      </c>
    </row>
    <row r="45" spans="1:31">
      <c r="A45" s="4" t="s">
        <v>54</v>
      </c>
      <c r="B45" s="8" t="s">
        <v>38</v>
      </c>
      <c r="C45" s="14">
        <v>53053.833599999998</v>
      </c>
      <c r="D45" s="13">
        <v>2.0000000000000001E-4</v>
      </c>
      <c r="E45" s="1">
        <f t="shared" si="0"/>
        <v>11393.551929242916</v>
      </c>
      <c r="F45" s="17">
        <f>ROUND(2*E45,0)/2-1</f>
        <v>11392.5</v>
      </c>
      <c r="G45" s="1">
        <f t="shared" si="1"/>
        <v>0.73496549999981653</v>
      </c>
      <c r="J45" s="1">
        <f>G45</f>
        <v>0.73496549999981653</v>
      </c>
      <c r="O45" s="1">
        <f t="shared" si="2"/>
        <v>0.73870374010397311</v>
      </c>
      <c r="Q45" s="10">
        <f t="shared" si="3"/>
        <v>38035.333599999998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A43" sqref="A43"/>
    </sheetView>
  </sheetViews>
  <sheetFormatPr defaultRowHeight="12.75"/>
  <cols>
    <col min="1" max="1" width="19.7109375" style="18" customWidth="1"/>
    <col min="2" max="2" width="4.42578125" customWidth="1"/>
    <col min="3" max="3" width="12.7109375" style="18" customWidth="1"/>
    <col min="4" max="4" width="5.42578125" customWidth="1"/>
    <col min="5" max="5" width="14.85546875" customWidth="1"/>
    <col min="7" max="7" width="12" customWidth="1"/>
    <col min="8" max="8" width="14.140625" style="1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9" t="s">
        <v>57</v>
      </c>
      <c r="I1" s="20" t="s">
        <v>58</v>
      </c>
      <c r="J1" s="21" t="s">
        <v>59</v>
      </c>
    </row>
    <row r="2" spans="1:16">
      <c r="I2" s="22" t="s">
        <v>60</v>
      </c>
      <c r="J2" s="23" t="s">
        <v>61</v>
      </c>
    </row>
    <row r="3" spans="1:16">
      <c r="A3" s="24" t="s">
        <v>62</v>
      </c>
      <c r="I3" s="22" t="s">
        <v>63</v>
      </c>
      <c r="J3" s="23" t="s">
        <v>64</v>
      </c>
    </row>
    <row r="4" spans="1:16">
      <c r="I4" s="22" t="s">
        <v>65</v>
      </c>
      <c r="J4" s="23" t="s">
        <v>64</v>
      </c>
    </row>
    <row r="5" spans="1:16">
      <c r="I5" s="25" t="s">
        <v>66</v>
      </c>
      <c r="J5" s="26" t="s">
        <v>67</v>
      </c>
    </row>
    <row r="11" spans="1:16" ht="12.75" customHeight="1">
      <c r="A11" s="18" t="str">
        <f t="shared" ref="A11:A45" si="0">P11</f>
        <v> BBS 23 </v>
      </c>
      <c r="B11" s="8" t="str">
        <f t="shared" ref="B11:B45" si="1">IF(H11=INT(H11),"I","II")</f>
        <v>I</v>
      </c>
      <c r="C11" s="18">
        <f t="shared" ref="C11:C45" si="2">1*G11</f>
        <v>42570.427000000003</v>
      </c>
      <c r="D11" t="str">
        <f t="shared" ref="D11:D45" si="3">VLOOKUP(F11,I$1:J$5,2,FALSE)</f>
        <v>vis</v>
      </c>
      <c r="E11">
        <f>VLOOKUP(C11,Active!C$21:E$973,3,FALSE)</f>
        <v>-3611.0687217356381</v>
      </c>
      <c r="F11" s="8" t="s">
        <v>66</v>
      </c>
      <c r="G11" t="str">
        <f t="shared" ref="G11:G45" si="4">MID(I11,3,LEN(I11)-3)</f>
        <v>42570.427</v>
      </c>
      <c r="H11" s="18">
        <f t="shared" ref="H11:H45" si="5">1*K11</f>
        <v>-3611</v>
      </c>
      <c r="I11" s="27" t="s">
        <v>68</v>
      </c>
      <c r="J11" s="28" t="s">
        <v>69</v>
      </c>
      <c r="K11" s="27">
        <v>-3611</v>
      </c>
      <c r="L11" s="27" t="s">
        <v>70</v>
      </c>
      <c r="M11" s="28" t="s">
        <v>71</v>
      </c>
      <c r="N11" s="28"/>
      <c r="O11" s="29" t="s">
        <v>72</v>
      </c>
      <c r="P11" s="29" t="s">
        <v>73</v>
      </c>
    </row>
    <row r="12" spans="1:16" ht="12.75" customHeight="1">
      <c r="A12" s="18" t="str">
        <f t="shared" si="0"/>
        <v> BBS 46 </v>
      </c>
      <c r="B12" s="8" t="str">
        <f t="shared" si="1"/>
        <v>II</v>
      </c>
      <c r="C12" s="18">
        <f t="shared" si="2"/>
        <v>44299.317999999999</v>
      </c>
      <c r="D12" t="str">
        <f t="shared" si="3"/>
        <v>vis</v>
      </c>
      <c r="E12">
        <f>VLOOKUP(C12,Active!C$21:E$973,3,FALSE)</f>
        <v>-1136.8415192626917</v>
      </c>
      <c r="F12" s="8" t="s">
        <v>66</v>
      </c>
      <c r="G12" t="str">
        <f t="shared" si="4"/>
        <v>44299.318</v>
      </c>
      <c r="H12" s="18">
        <f t="shared" si="5"/>
        <v>-1136.5</v>
      </c>
      <c r="I12" s="27" t="s">
        <v>74</v>
      </c>
      <c r="J12" s="28" t="s">
        <v>75</v>
      </c>
      <c r="K12" s="27">
        <v>-1136.5</v>
      </c>
      <c r="L12" s="27" t="s">
        <v>76</v>
      </c>
      <c r="M12" s="28" t="s">
        <v>71</v>
      </c>
      <c r="N12" s="28"/>
      <c r="O12" s="29" t="s">
        <v>72</v>
      </c>
      <c r="P12" s="29" t="s">
        <v>77</v>
      </c>
    </row>
    <row r="13" spans="1:16" ht="12.75" customHeight="1">
      <c r="A13" s="18" t="str">
        <f t="shared" si="0"/>
        <v> BBS 60 </v>
      </c>
      <c r="B13" s="8" t="str">
        <f t="shared" si="1"/>
        <v>I</v>
      </c>
      <c r="C13" s="18">
        <f t="shared" si="2"/>
        <v>45093.347999999998</v>
      </c>
      <c r="D13" t="str">
        <f t="shared" si="3"/>
        <v>vis</v>
      </c>
      <c r="E13">
        <f>VLOOKUP(C13,Active!C$21:E$973,3,FALSE)</f>
        <v>-0.49999999999950684</v>
      </c>
      <c r="F13" s="8" t="s">
        <v>66</v>
      </c>
      <c r="G13" t="str">
        <f t="shared" si="4"/>
        <v>45093.348</v>
      </c>
      <c r="H13" s="18">
        <f t="shared" si="5"/>
        <v>0</v>
      </c>
      <c r="I13" s="27" t="s">
        <v>78</v>
      </c>
      <c r="J13" s="28" t="s">
        <v>79</v>
      </c>
      <c r="K13" s="27">
        <v>0</v>
      </c>
      <c r="L13" s="27" t="s">
        <v>80</v>
      </c>
      <c r="M13" s="28" t="s">
        <v>71</v>
      </c>
      <c r="N13" s="28"/>
      <c r="O13" s="29" t="s">
        <v>72</v>
      </c>
      <c r="P13" s="29" t="s">
        <v>81</v>
      </c>
    </row>
    <row r="14" spans="1:16" ht="12.75" customHeight="1">
      <c r="A14" s="18" t="str">
        <f t="shared" si="0"/>
        <v> BBS 60 </v>
      </c>
      <c r="B14" s="8" t="str">
        <f t="shared" si="1"/>
        <v>II</v>
      </c>
      <c r="C14" s="18">
        <f t="shared" si="2"/>
        <v>45101.381000000001</v>
      </c>
      <c r="D14" t="str">
        <f t="shared" si="3"/>
        <v>vis</v>
      </c>
      <c r="E14">
        <f>VLOOKUP(C14,Active!C$21:E$973,3,FALSE)</f>
        <v>10.996078768108404</v>
      </c>
      <c r="F14" s="8" t="s">
        <v>66</v>
      </c>
      <c r="G14" t="str">
        <f t="shared" si="4"/>
        <v>45101.381</v>
      </c>
      <c r="H14" s="18">
        <f t="shared" si="5"/>
        <v>11.5</v>
      </c>
      <c r="I14" s="27" t="s">
        <v>82</v>
      </c>
      <c r="J14" s="28" t="s">
        <v>83</v>
      </c>
      <c r="K14" s="27">
        <v>11.5</v>
      </c>
      <c r="L14" s="27" t="s">
        <v>84</v>
      </c>
      <c r="M14" s="28" t="s">
        <v>71</v>
      </c>
      <c r="N14" s="28"/>
      <c r="O14" s="29" t="s">
        <v>72</v>
      </c>
      <c r="P14" s="29" t="s">
        <v>81</v>
      </c>
    </row>
    <row r="15" spans="1:16" ht="12.75" customHeight="1">
      <c r="A15" s="18" t="str">
        <f t="shared" si="0"/>
        <v> BBS 60 </v>
      </c>
      <c r="B15" s="8" t="str">
        <f t="shared" si="1"/>
        <v>II</v>
      </c>
      <c r="C15" s="18">
        <f t="shared" si="2"/>
        <v>45115.364999999998</v>
      </c>
      <c r="D15" t="str">
        <f t="shared" si="3"/>
        <v>vis</v>
      </c>
      <c r="E15">
        <f>VLOOKUP(C15,Active!C$21:E$973,3,FALSE)</f>
        <v>31.008672505581558</v>
      </c>
      <c r="F15" s="8" t="s">
        <v>66</v>
      </c>
      <c r="G15" t="str">
        <f t="shared" si="4"/>
        <v>45115.365</v>
      </c>
      <c r="H15" s="18">
        <f t="shared" si="5"/>
        <v>31.5</v>
      </c>
      <c r="I15" s="27" t="s">
        <v>85</v>
      </c>
      <c r="J15" s="28" t="s">
        <v>86</v>
      </c>
      <c r="K15" s="27">
        <v>31.5</v>
      </c>
      <c r="L15" s="27" t="s">
        <v>87</v>
      </c>
      <c r="M15" s="28" t="s">
        <v>71</v>
      </c>
      <c r="N15" s="28"/>
      <c r="O15" s="29" t="s">
        <v>72</v>
      </c>
      <c r="P15" s="29" t="s">
        <v>81</v>
      </c>
    </row>
    <row r="16" spans="1:16" ht="12.75" customHeight="1">
      <c r="A16" s="18" t="str">
        <f t="shared" si="0"/>
        <v> BBS 84 </v>
      </c>
      <c r="B16" s="8" t="str">
        <f t="shared" si="1"/>
        <v>II</v>
      </c>
      <c r="C16" s="18">
        <f t="shared" si="2"/>
        <v>46861.374000000003</v>
      </c>
      <c r="D16" t="str">
        <f t="shared" si="3"/>
        <v>vis</v>
      </c>
      <c r="E16">
        <f>VLOOKUP(C16,Active!C$21:E$973,3,FALSE)</f>
        <v>2529.7335565859603</v>
      </c>
      <c r="F16" s="8" t="s">
        <v>66</v>
      </c>
      <c r="G16" t="str">
        <f t="shared" si="4"/>
        <v>46861.374</v>
      </c>
      <c r="H16" s="18">
        <f t="shared" si="5"/>
        <v>2530.5</v>
      </c>
      <c r="I16" s="27" t="s">
        <v>88</v>
      </c>
      <c r="J16" s="28" t="s">
        <v>89</v>
      </c>
      <c r="K16" s="27">
        <v>2530.5</v>
      </c>
      <c r="L16" s="27" t="s">
        <v>87</v>
      </c>
      <c r="M16" s="28" t="s">
        <v>71</v>
      </c>
      <c r="N16" s="28"/>
      <c r="O16" s="29" t="s">
        <v>90</v>
      </c>
      <c r="P16" s="29" t="s">
        <v>91</v>
      </c>
    </row>
    <row r="17" spans="1:16" ht="12.75" customHeight="1">
      <c r="A17" s="18" t="str">
        <f t="shared" si="0"/>
        <v> BBS 87 </v>
      </c>
      <c r="B17" s="8" t="str">
        <f t="shared" si="1"/>
        <v>I</v>
      </c>
      <c r="C17" s="18">
        <f t="shared" si="2"/>
        <v>47208.275999999998</v>
      </c>
      <c r="D17" t="str">
        <f t="shared" si="3"/>
        <v>vis</v>
      </c>
      <c r="E17">
        <f>VLOOKUP(C17,Active!C$21:E$973,3,FALSE)</f>
        <v>3026.1872746007216</v>
      </c>
      <c r="F17" s="8" t="s">
        <v>66</v>
      </c>
      <c r="G17" t="str">
        <f t="shared" si="4"/>
        <v>47208.276</v>
      </c>
      <c r="H17" s="18">
        <f t="shared" si="5"/>
        <v>3027</v>
      </c>
      <c r="I17" s="27" t="s">
        <v>92</v>
      </c>
      <c r="J17" s="28" t="s">
        <v>93</v>
      </c>
      <c r="K17" s="27">
        <v>3027</v>
      </c>
      <c r="L17" s="27" t="s">
        <v>94</v>
      </c>
      <c r="M17" s="28" t="s">
        <v>71</v>
      </c>
      <c r="N17" s="28"/>
      <c r="O17" s="29" t="s">
        <v>72</v>
      </c>
      <c r="P17" s="29" t="s">
        <v>95</v>
      </c>
    </row>
    <row r="18" spans="1:16" ht="12.75" customHeight="1">
      <c r="A18" s="18" t="str">
        <f t="shared" si="0"/>
        <v> BBS 91 </v>
      </c>
      <c r="B18" s="8" t="str">
        <f t="shared" si="1"/>
        <v>I</v>
      </c>
      <c r="C18" s="18">
        <f t="shared" si="2"/>
        <v>47595.358999999997</v>
      </c>
      <c r="D18" t="str">
        <f t="shared" si="3"/>
        <v>vis</v>
      </c>
      <c r="E18">
        <f>VLOOKUP(C18,Active!C$21:E$973,3,FALSE)</f>
        <v>3580.1442841605112</v>
      </c>
      <c r="F18" s="8" t="s">
        <v>66</v>
      </c>
      <c r="G18" t="str">
        <f t="shared" si="4"/>
        <v>47595.359</v>
      </c>
      <c r="H18" s="18">
        <f t="shared" si="5"/>
        <v>3581</v>
      </c>
      <c r="I18" s="27" t="s">
        <v>96</v>
      </c>
      <c r="J18" s="28" t="s">
        <v>97</v>
      </c>
      <c r="K18" s="27">
        <v>3581</v>
      </c>
      <c r="L18" s="27" t="s">
        <v>98</v>
      </c>
      <c r="M18" s="28" t="s">
        <v>71</v>
      </c>
      <c r="N18" s="28"/>
      <c r="O18" s="29" t="s">
        <v>99</v>
      </c>
      <c r="P18" s="29" t="s">
        <v>100</v>
      </c>
    </row>
    <row r="19" spans="1:16" ht="12.75" customHeight="1">
      <c r="A19" s="18" t="str">
        <f t="shared" si="0"/>
        <v> BBS 91 </v>
      </c>
      <c r="B19" s="8" t="str">
        <f t="shared" si="1"/>
        <v>I</v>
      </c>
      <c r="C19" s="18">
        <f t="shared" si="2"/>
        <v>47597.428</v>
      </c>
      <c r="D19" t="str">
        <f t="shared" si="3"/>
        <v>vis</v>
      </c>
      <c r="E19">
        <f>VLOOKUP(C19,Active!C$21:E$973,3,FALSE)</f>
        <v>3583.1052435743345</v>
      </c>
      <c r="F19" s="8" t="s">
        <v>66</v>
      </c>
      <c r="G19" t="str">
        <f t="shared" si="4"/>
        <v>47597.428</v>
      </c>
      <c r="H19" s="18">
        <f t="shared" si="5"/>
        <v>3584</v>
      </c>
      <c r="I19" s="27" t="s">
        <v>101</v>
      </c>
      <c r="J19" s="28" t="s">
        <v>102</v>
      </c>
      <c r="K19" s="27">
        <v>3584</v>
      </c>
      <c r="L19" s="27" t="s">
        <v>103</v>
      </c>
      <c r="M19" s="28" t="s">
        <v>71</v>
      </c>
      <c r="N19" s="28"/>
      <c r="O19" s="29" t="s">
        <v>99</v>
      </c>
      <c r="P19" s="29" t="s">
        <v>100</v>
      </c>
    </row>
    <row r="20" spans="1:16" ht="12.75" customHeight="1">
      <c r="A20" s="18" t="str">
        <f t="shared" si="0"/>
        <v> BBS 97 </v>
      </c>
      <c r="B20" s="8" t="str">
        <f t="shared" si="1"/>
        <v>II</v>
      </c>
      <c r="C20" s="18">
        <f t="shared" si="2"/>
        <v>48361.343000000001</v>
      </c>
      <c r="D20" t="str">
        <f t="shared" si="3"/>
        <v>vis</v>
      </c>
      <c r="E20">
        <f>VLOOKUP(C20,Active!C$21:E$973,3,FALSE)</f>
        <v>4676.3489896387928</v>
      </c>
      <c r="F20" s="8" t="s">
        <v>66</v>
      </c>
      <c r="G20" t="str">
        <f t="shared" si="4"/>
        <v>48361.343</v>
      </c>
      <c r="H20" s="18">
        <f t="shared" si="5"/>
        <v>4677.5</v>
      </c>
      <c r="I20" s="27" t="s">
        <v>104</v>
      </c>
      <c r="J20" s="28" t="s">
        <v>105</v>
      </c>
      <c r="K20" s="27">
        <v>4677.5</v>
      </c>
      <c r="L20" s="27" t="s">
        <v>106</v>
      </c>
      <c r="M20" s="28" t="s">
        <v>71</v>
      </c>
      <c r="N20" s="28"/>
      <c r="O20" s="29" t="s">
        <v>99</v>
      </c>
      <c r="P20" s="29" t="s">
        <v>107</v>
      </c>
    </row>
    <row r="21" spans="1:16" ht="12.75" customHeight="1">
      <c r="A21" s="18" t="str">
        <f t="shared" si="0"/>
        <v> BBS 97 </v>
      </c>
      <c r="B21" s="8" t="str">
        <f t="shared" si="1"/>
        <v>I</v>
      </c>
      <c r="C21" s="18">
        <f t="shared" si="2"/>
        <v>48362.375999999997</v>
      </c>
      <c r="D21" t="str">
        <f t="shared" si="3"/>
        <v>vis</v>
      </c>
      <c r="E21">
        <f>VLOOKUP(C21,Active!C$21:E$973,3,FALSE)</f>
        <v>4677.8273226858983</v>
      </c>
      <c r="F21" s="8" t="s">
        <v>66</v>
      </c>
      <c r="G21" t="str">
        <f t="shared" si="4"/>
        <v>48362.376</v>
      </c>
      <c r="H21" s="18">
        <f t="shared" si="5"/>
        <v>4679</v>
      </c>
      <c r="I21" s="27" t="s">
        <v>108</v>
      </c>
      <c r="J21" s="28" t="s">
        <v>109</v>
      </c>
      <c r="K21" s="27">
        <v>4679</v>
      </c>
      <c r="L21" s="27" t="s">
        <v>110</v>
      </c>
      <c r="M21" s="28" t="s">
        <v>71</v>
      </c>
      <c r="N21" s="28"/>
      <c r="O21" s="29" t="s">
        <v>99</v>
      </c>
      <c r="P21" s="29" t="s">
        <v>107</v>
      </c>
    </row>
    <row r="22" spans="1:16" ht="12.75" customHeight="1">
      <c r="A22" s="18" t="str">
        <f t="shared" si="0"/>
        <v> BBS 98 </v>
      </c>
      <c r="B22" s="8" t="str">
        <f t="shared" si="1"/>
        <v>I</v>
      </c>
      <c r="C22" s="18">
        <f t="shared" si="2"/>
        <v>48385.425999999999</v>
      </c>
      <c r="D22" t="str">
        <f t="shared" si="3"/>
        <v>vis</v>
      </c>
      <c r="E22">
        <f>VLOOKUP(C22,Active!C$21:E$973,3,FALSE)</f>
        <v>4710.8143282385963</v>
      </c>
      <c r="F22" s="8" t="s">
        <v>66</v>
      </c>
      <c r="G22" t="str">
        <f t="shared" si="4"/>
        <v>48385.426</v>
      </c>
      <c r="H22" s="18">
        <f t="shared" si="5"/>
        <v>4712</v>
      </c>
      <c r="I22" s="27" t="s">
        <v>111</v>
      </c>
      <c r="J22" s="28" t="s">
        <v>112</v>
      </c>
      <c r="K22" s="27">
        <v>4712</v>
      </c>
      <c r="L22" s="27" t="s">
        <v>113</v>
      </c>
      <c r="M22" s="28" t="s">
        <v>71</v>
      </c>
      <c r="N22" s="28"/>
      <c r="O22" s="29" t="s">
        <v>99</v>
      </c>
      <c r="P22" s="29" t="s">
        <v>114</v>
      </c>
    </row>
    <row r="23" spans="1:16" ht="12.75" customHeight="1">
      <c r="A23" s="18" t="str">
        <f t="shared" si="0"/>
        <v> BBS 98 </v>
      </c>
      <c r="B23" s="8" t="str">
        <f t="shared" si="1"/>
        <v>I</v>
      </c>
      <c r="C23" s="18">
        <f t="shared" si="2"/>
        <v>48406.400999999998</v>
      </c>
      <c r="D23" t="str">
        <f t="shared" si="3"/>
        <v>vis</v>
      </c>
      <c r="E23">
        <f>VLOOKUP(C23,Active!C$21:E$973,3,FALSE)</f>
        <v>4740.8317877382797</v>
      </c>
      <c r="F23" s="8" t="s">
        <v>66</v>
      </c>
      <c r="G23" t="str">
        <f t="shared" si="4"/>
        <v>48406.401</v>
      </c>
      <c r="H23" s="18">
        <f t="shared" si="5"/>
        <v>4742</v>
      </c>
      <c r="I23" s="27" t="s">
        <v>115</v>
      </c>
      <c r="J23" s="28" t="s">
        <v>116</v>
      </c>
      <c r="K23" s="27">
        <v>4742</v>
      </c>
      <c r="L23" s="27" t="s">
        <v>117</v>
      </c>
      <c r="M23" s="28" t="s">
        <v>71</v>
      </c>
      <c r="N23" s="28"/>
      <c r="O23" s="29" t="s">
        <v>99</v>
      </c>
      <c r="P23" s="29" t="s">
        <v>114</v>
      </c>
    </row>
    <row r="24" spans="1:16" ht="12.75" customHeight="1">
      <c r="A24" s="18" t="str">
        <f t="shared" si="0"/>
        <v> BBS 101 </v>
      </c>
      <c r="B24" s="8" t="str">
        <f t="shared" si="1"/>
        <v>I</v>
      </c>
      <c r="C24" s="18">
        <f t="shared" si="2"/>
        <v>48689.375</v>
      </c>
      <c r="D24" t="str">
        <f t="shared" si="3"/>
        <v>vis</v>
      </c>
      <c r="E24">
        <f>VLOOKUP(C24,Active!C$21:E$973,3,FALSE)</f>
        <v>5145.7977274028308</v>
      </c>
      <c r="F24" s="8" t="s">
        <v>66</v>
      </c>
      <c r="G24" t="str">
        <f t="shared" si="4"/>
        <v>48689.375</v>
      </c>
      <c r="H24" s="18">
        <f t="shared" si="5"/>
        <v>5147</v>
      </c>
      <c r="I24" s="27" t="s">
        <v>118</v>
      </c>
      <c r="J24" s="28" t="s">
        <v>119</v>
      </c>
      <c r="K24" s="27">
        <v>5147</v>
      </c>
      <c r="L24" s="27" t="s">
        <v>120</v>
      </c>
      <c r="M24" s="28" t="s">
        <v>71</v>
      </c>
      <c r="N24" s="28"/>
      <c r="O24" s="29" t="s">
        <v>99</v>
      </c>
      <c r="P24" s="29" t="s">
        <v>121</v>
      </c>
    </row>
    <row r="25" spans="1:16" ht="12.75" customHeight="1">
      <c r="A25" s="18" t="str">
        <f t="shared" si="0"/>
        <v> BBS 101 </v>
      </c>
      <c r="B25" s="8" t="str">
        <f t="shared" si="1"/>
        <v>I</v>
      </c>
      <c r="C25" s="18">
        <f t="shared" si="2"/>
        <v>48733.379000000001</v>
      </c>
      <c r="D25" t="str">
        <f t="shared" si="3"/>
        <v>vis</v>
      </c>
      <c r="E25">
        <f>VLOOKUP(C25,Active!C$21:E$973,3,FALSE)</f>
        <v>5208.7721392180474</v>
      </c>
      <c r="F25" s="8" t="s">
        <v>66</v>
      </c>
      <c r="G25" t="str">
        <f t="shared" si="4"/>
        <v>48733.379</v>
      </c>
      <c r="H25" s="18">
        <f t="shared" si="5"/>
        <v>5210</v>
      </c>
      <c r="I25" s="27" t="s">
        <v>122</v>
      </c>
      <c r="J25" s="28" t="s">
        <v>123</v>
      </c>
      <c r="K25" s="27">
        <v>5210</v>
      </c>
      <c r="L25" s="27" t="s">
        <v>124</v>
      </c>
      <c r="M25" s="28" t="s">
        <v>71</v>
      </c>
      <c r="N25" s="28"/>
      <c r="O25" s="29" t="s">
        <v>99</v>
      </c>
      <c r="P25" s="29" t="s">
        <v>121</v>
      </c>
    </row>
    <row r="26" spans="1:16" ht="12.75" customHeight="1">
      <c r="A26" s="18" t="str">
        <f t="shared" si="0"/>
        <v> BBS 101 </v>
      </c>
      <c r="B26" s="8" t="str">
        <f t="shared" si="1"/>
        <v>I</v>
      </c>
      <c r="C26" s="18">
        <f t="shared" si="2"/>
        <v>48763.421000000002</v>
      </c>
      <c r="D26" t="str">
        <f t="shared" si="3"/>
        <v>vis</v>
      </c>
      <c r="E26">
        <f>VLOOKUP(C26,Active!C$21:E$973,3,FALSE)</f>
        <v>5251.7654416394817</v>
      </c>
      <c r="F26" s="8" t="s">
        <v>66</v>
      </c>
      <c r="G26" t="str">
        <f t="shared" si="4"/>
        <v>48763.421</v>
      </c>
      <c r="H26" s="18">
        <f t="shared" si="5"/>
        <v>5253</v>
      </c>
      <c r="I26" s="27" t="s">
        <v>125</v>
      </c>
      <c r="J26" s="28" t="s">
        <v>126</v>
      </c>
      <c r="K26" s="27">
        <v>5253</v>
      </c>
      <c r="L26" s="27" t="s">
        <v>127</v>
      </c>
      <c r="M26" s="28" t="s">
        <v>71</v>
      </c>
      <c r="N26" s="28"/>
      <c r="O26" s="29" t="s">
        <v>99</v>
      </c>
      <c r="P26" s="29" t="s">
        <v>121</v>
      </c>
    </row>
    <row r="27" spans="1:16" ht="12.75" customHeight="1">
      <c r="A27" s="18" t="str">
        <f t="shared" si="0"/>
        <v> BBS 101 </v>
      </c>
      <c r="B27" s="8" t="str">
        <f t="shared" si="1"/>
        <v>I</v>
      </c>
      <c r="C27" s="18">
        <f t="shared" si="2"/>
        <v>48770.402999999998</v>
      </c>
      <c r="D27" t="str">
        <f t="shared" si="3"/>
        <v>vis</v>
      </c>
      <c r="E27">
        <f>VLOOKUP(C27,Active!C$21:E$973,3,FALSE)</f>
        <v>5261.7574274428998</v>
      </c>
      <c r="F27" s="8" t="s">
        <v>66</v>
      </c>
      <c r="G27" t="str">
        <f t="shared" si="4"/>
        <v>48770.403</v>
      </c>
      <c r="H27" s="18">
        <f t="shared" si="5"/>
        <v>5263</v>
      </c>
      <c r="I27" s="27" t="s">
        <v>128</v>
      </c>
      <c r="J27" s="28" t="s">
        <v>129</v>
      </c>
      <c r="K27" s="27">
        <v>5263</v>
      </c>
      <c r="L27" s="27" t="s">
        <v>130</v>
      </c>
      <c r="M27" s="28" t="s">
        <v>71</v>
      </c>
      <c r="N27" s="28"/>
      <c r="O27" s="29" t="s">
        <v>99</v>
      </c>
      <c r="P27" s="29" t="s">
        <v>121</v>
      </c>
    </row>
    <row r="28" spans="1:16" ht="12.75" customHeight="1">
      <c r="A28" s="18" t="str">
        <f t="shared" si="0"/>
        <v> BBS 104 </v>
      </c>
      <c r="B28" s="8" t="str">
        <f t="shared" si="1"/>
        <v>I</v>
      </c>
      <c r="C28" s="18">
        <f t="shared" si="2"/>
        <v>49090.392999999996</v>
      </c>
      <c r="D28" t="str">
        <f t="shared" si="3"/>
        <v>vis</v>
      </c>
      <c r="E28">
        <f>VLOOKUP(C28,Active!C$21:E$973,3,FALSE)</f>
        <v>5719.6972064800484</v>
      </c>
      <c r="F28" s="8" t="s">
        <v>66</v>
      </c>
      <c r="G28" t="str">
        <f t="shared" si="4"/>
        <v>49090.393</v>
      </c>
      <c r="H28" s="18">
        <f t="shared" si="5"/>
        <v>5721</v>
      </c>
      <c r="I28" s="27" t="s">
        <v>131</v>
      </c>
      <c r="J28" s="28" t="s">
        <v>132</v>
      </c>
      <c r="K28" s="27">
        <v>5721</v>
      </c>
      <c r="L28" s="27" t="s">
        <v>133</v>
      </c>
      <c r="M28" s="28" t="s">
        <v>71</v>
      </c>
      <c r="N28" s="28"/>
      <c r="O28" s="29" t="s">
        <v>99</v>
      </c>
      <c r="P28" s="29" t="s">
        <v>134</v>
      </c>
    </row>
    <row r="29" spans="1:16" ht="12.75" customHeight="1">
      <c r="A29" s="18" t="str">
        <f t="shared" si="0"/>
        <v> BBS 104 </v>
      </c>
      <c r="B29" s="8" t="str">
        <f t="shared" si="1"/>
        <v>I</v>
      </c>
      <c r="C29" s="18">
        <f t="shared" si="2"/>
        <v>49097.394</v>
      </c>
      <c r="D29" t="str">
        <f t="shared" si="3"/>
        <v>vis</v>
      </c>
      <c r="E29">
        <f>VLOOKUP(C29,Active!C$21:E$973,3,FALSE)</f>
        <v>5729.7163833075765</v>
      </c>
      <c r="F29" s="8" t="s">
        <v>66</v>
      </c>
      <c r="G29" t="str">
        <f t="shared" si="4"/>
        <v>49097.394</v>
      </c>
      <c r="H29" s="18">
        <f t="shared" si="5"/>
        <v>5731</v>
      </c>
      <c r="I29" s="27" t="s">
        <v>135</v>
      </c>
      <c r="J29" s="28" t="s">
        <v>136</v>
      </c>
      <c r="K29" s="27">
        <v>5731</v>
      </c>
      <c r="L29" s="27" t="s">
        <v>137</v>
      </c>
      <c r="M29" s="28" t="s">
        <v>71</v>
      </c>
      <c r="N29" s="28"/>
      <c r="O29" s="29" t="s">
        <v>99</v>
      </c>
      <c r="P29" s="29" t="s">
        <v>134</v>
      </c>
    </row>
    <row r="30" spans="1:16" ht="12.75" customHeight="1">
      <c r="A30" s="18" t="str">
        <f t="shared" si="0"/>
        <v> BBS 104 </v>
      </c>
      <c r="B30" s="8" t="str">
        <f t="shared" si="1"/>
        <v>II</v>
      </c>
      <c r="C30" s="18">
        <f t="shared" si="2"/>
        <v>49163.427000000003</v>
      </c>
      <c r="D30" t="str">
        <f t="shared" si="3"/>
        <v>vis</v>
      </c>
      <c r="E30">
        <f>VLOOKUP(C30,Active!C$21:E$973,3,FALSE)</f>
        <v>5824.2166409067568</v>
      </c>
      <c r="F30" s="8" t="s">
        <v>66</v>
      </c>
      <c r="G30" t="str">
        <f t="shared" si="4"/>
        <v>49163.427</v>
      </c>
      <c r="H30" s="18">
        <f t="shared" si="5"/>
        <v>5825.5</v>
      </c>
      <c r="I30" s="27" t="s">
        <v>138</v>
      </c>
      <c r="J30" s="28" t="s">
        <v>139</v>
      </c>
      <c r="K30" s="27">
        <v>5825.5</v>
      </c>
      <c r="L30" s="27" t="s">
        <v>140</v>
      </c>
      <c r="M30" s="28" t="s">
        <v>71</v>
      </c>
      <c r="N30" s="28"/>
      <c r="O30" s="29" t="s">
        <v>99</v>
      </c>
      <c r="P30" s="29" t="s">
        <v>134</v>
      </c>
    </row>
    <row r="31" spans="1:16" ht="12.75" customHeight="1">
      <c r="A31" s="18" t="str">
        <f t="shared" si="0"/>
        <v> BBS 111 </v>
      </c>
      <c r="B31" s="8" t="str">
        <f t="shared" si="1"/>
        <v>I</v>
      </c>
      <c r="C31" s="18">
        <f t="shared" si="2"/>
        <v>50099.409</v>
      </c>
      <c r="D31" t="str">
        <f t="shared" si="3"/>
        <v>vis</v>
      </c>
      <c r="E31">
        <f>VLOOKUP(C31,Active!C$21:E$973,3,FALSE)</f>
        <v>7163.7065945388995</v>
      </c>
      <c r="F31" s="8" t="s">
        <v>66</v>
      </c>
      <c r="G31" t="str">
        <f t="shared" si="4"/>
        <v>50099.409</v>
      </c>
      <c r="H31" s="18">
        <f t="shared" si="5"/>
        <v>7165</v>
      </c>
      <c r="I31" s="27" t="s">
        <v>141</v>
      </c>
      <c r="J31" s="28" t="s">
        <v>142</v>
      </c>
      <c r="K31" s="27">
        <v>7165</v>
      </c>
      <c r="L31" s="27" t="s">
        <v>143</v>
      </c>
      <c r="M31" s="28" t="s">
        <v>71</v>
      </c>
      <c r="N31" s="28"/>
      <c r="O31" s="29" t="s">
        <v>144</v>
      </c>
      <c r="P31" s="29" t="s">
        <v>145</v>
      </c>
    </row>
    <row r="32" spans="1:16" ht="12.75" customHeight="1">
      <c r="A32" s="18" t="str">
        <f t="shared" si="0"/>
        <v> BBS 114 </v>
      </c>
      <c r="B32" s="8" t="str">
        <f t="shared" si="1"/>
        <v>I</v>
      </c>
      <c r="C32" s="18">
        <f t="shared" si="2"/>
        <v>50194.438999999998</v>
      </c>
      <c r="D32" t="str">
        <f t="shared" si="3"/>
        <v>vis</v>
      </c>
      <c r="E32">
        <f>VLOOKUP(C32,Active!C$21:E$973,3,FALSE)</f>
        <v>7299.7046482340147</v>
      </c>
      <c r="F32" s="8" t="s">
        <v>66</v>
      </c>
      <c r="G32" t="str">
        <f t="shared" si="4"/>
        <v>50194.439</v>
      </c>
      <c r="H32" s="18">
        <f t="shared" si="5"/>
        <v>7301</v>
      </c>
      <c r="I32" s="27" t="s">
        <v>146</v>
      </c>
      <c r="J32" s="28" t="s">
        <v>147</v>
      </c>
      <c r="K32" s="27">
        <v>7301</v>
      </c>
      <c r="L32" s="27" t="s">
        <v>148</v>
      </c>
      <c r="M32" s="28" t="s">
        <v>71</v>
      </c>
      <c r="N32" s="28"/>
      <c r="O32" s="29" t="s">
        <v>144</v>
      </c>
      <c r="P32" s="29" t="s">
        <v>149</v>
      </c>
    </row>
    <row r="33" spans="1:16" ht="12.75" customHeight="1">
      <c r="A33" s="18" t="str">
        <f t="shared" si="0"/>
        <v>IBVS 5502 </v>
      </c>
      <c r="B33" s="8" t="str">
        <f t="shared" si="1"/>
        <v>I</v>
      </c>
      <c r="C33" s="18">
        <f t="shared" si="2"/>
        <v>52669.875</v>
      </c>
      <c r="D33" t="str">
        <f t="shared" si="3"/>
        <v>vis</v>
      </c>
      <c r="E33">
        <f>VLOOKUP(C33,Active!C$21:E$973,3,FALSE)</f>
        <v>10842.317276318052</v>
      </c>
      <c r="F33" s="8" t="s">
        <v>66</v>
      </c>
      <c r="G33" t="str">
        <f t="shared" si="4"/>
        <v>52669.875</v>
      </c>
      <c r="H33" s="18">
        <f t="shared" si="5"/>
        <v>10844</v>
      </c>
      <c r="I33" s="27" t="s">
        <v>150</v>
      </c>
      <c r="J33" s="28" t="s">
        <v>151</v>
      </c>
      <c r="K33" s="27">
        <v>10844</v>
      </c>
      <c r="L33" s="27" t="s">
        <v>152</v>
      </c>
      <c r="M33" s="28" t="s">
        <v>153</v>
      </c>
      <c r="N33" s="28" t="s">
        <v>154</v>
      </c>
      <c r="O33" s="29" t="s">
        <v>155</v>
      </c>
      <c r="P33" s="30" t="s">
        <v>156</v>
      </c>
    </row>
    <row r="34" spans="1:16" ht="12.75" customHeight="1">
      <c r="A34" s="18" t="str">
        <f t="shared" si="0"/>
        <v>IBVS 5493 </v>
      </c>
      <c r="B34" s="8" t="str">
        <f t="shared" si="1"/>
        <v>I</v>
      </c>
      <c r="C34" s="18">
        <f t="shared" si="2"/>
        <v>52704.807000000001</v>
      </c>
      <c r="D34" t="str">
        <f t="shared" si="3"/>
        <v>vis</v>
      </c>
      <c r="E34">
        <f>VLOOKUP(C34,Active!C$21:E$973,3,FALSE)</f>
        <v>10892.308689678863</v>
      </c>
      <c r="F34" s="8" t="s">
        <v>66</v>
      </c>
      <c r="G34" t="str">
        <f t="shared" si="4"/>
        <v>52704.807</v>
      </c>
      <c r="H34" s="18">
        <f t="shared" si="5"/>
        <v>10894</v>
      </c>
      <c r="I34" s="27" t="s">
        <v>157</v>
      </c>
      <c r="J34" s="28" t="s">
        <v>158</v>
      </c>
      <c r="K34" s="27">
        <v>10894</v>
      </c>
      <c r="L34" s="27" t="s">
        <v>159</v>
      </c>
      <c r="M34" s="28" t="s">
        <v>153</v>
      </c>
      <c r="N34" s="28" t="s">
        <v>154</v>
      </c>
      <c r="O34" s="29" t="s">
        <v>160</v>
      </c>
      <c r="P34" s="30" t="s">
        <v>161</v>
      </c>
    </row>
    <row r="35" spans="1:16" ht="12.75" customHeight="1">
      <c r="A35" s="18" t="str">
        <f t="shared" si="0"/>
        <v>OEJV 0074 </v>
      </c>
      <c r="B35" s="8" t="str">
        <f t="shared" si="1"/>
        <v>II</v>
      </c>
      <c r="C35" s="18">
        <f t="shared" si="2"/>
        <v>53866.473579999998</v>
      </c>
      <c r="D35" t="str">
        <f t="shared" si="3"/>
        <v>vis</v>
      </c>
      <c r="E35">
        <f>VLOOKUP(C35,Active!C$21:E$973,3,FALSE)</f>
        <v>12554.777319823686</v>
      </c>
      <c r="F35" s="8" t="s">
        <v>66</v>
      </c>
      <c r="G35" t="str">
        <f t="shared" si="4"/>
        <v>53866.47358</v>
      </c>
      <c r="H35" s="18">
        <f t="shared" si="5"/>
        <v>12556.5</v>
      </c>
      <c r="I35" s="27" t="s">
        <v>162</v>
      </c>
      <c r="J35" s="28" t="s">
        <v>163</v>
      </c>
      <c r="K35" s="27">
        <v>12556.5</v>
      </c>
      <c r="L35" s="27" t="s">
        <v>164</v>
      </c>
      <c r="M35" s="28" t="s">
        <v>165</v>
      </c>
      <c r="N35" s="28" t="s">
        <v>166</v>
      </c>
      <c r="O35" s="29" t="s">
        <v>167</v>
      </c>
      <c r="P35" s="30" t="s">
        <v>168</v>
      </c>
    </row>
    <row r="36" spans="1:16" ht="12.75" customHeight="1">
      <c r="A36" s="18" t="str">
        <f t="shared" si="0"/>
        <v>BAVM 201 </v>
      </c>
      <c r="B36" s="8" t="str">
        <f t="shared" si="1"/>
        <v>I</v>
      </c>
      <c r="C36" s="18">
        <f t="shared" si="2"/>
        <v>54216.323499999999</v>
      </c>
      <c r="D36" t="str">
        <f t="shared" si="3"/>
        <v>vis</v>
      </c>
      <c r="E36">
        <f>VLOOKUP(C36,Active!C$21:E$973,3,FALSE)</f>
        <v>13055.449825405003</v>
      </c>
      <c r="F36" s="8" t="s">
        <v>66</v>
      </c>
      <c r="G36" t="str">
        <f t="shared" si="4"/>
        <v>54216.3235</v>
      </c>
      <c r="H36" s="18">
        <f t="shared" si="5"/>
        <v>13057</v>
      </c>
      <c r="I36" s="27" t="s">
        <v>169</v>
      </c>
      <c r="J36" s="28" t="s">
        <v>170</v>
      </c>
      <c r="K36" s="27">
        <v>13057</v>
      </c>
      <c r="L36" s="27" t="s">
        <v>171</v>
      </c>
      <c r="M36" s="28" t="s">
        <v>165</v>
      </c>
      <c r="N36" s="28" t="s">
        <v>172</v>
      </c>
      <c r="O36" s="29" t="s">
        <v>173</v>
      </c>
      <c r="P36" s="30" t="s">
        <v>174</v>
      </c>
    </row>
    <row r="37" spans="1:16" ht="12.75" customHeight="1">
      <c r="A37" s="18" t="str">
        <f t="shared" si="0"/>
        <v>BAVM 201 </v>
      </c>
      <c r="B37" s="8" t="str">
        <f t="shared" si="1"/>
        <v>I</v>
      </c>
      <c r="C37" s="18">
        <f t="shared" si="2"/>
        <v>54220.515599999999</v>
      </c>
      <c r="D37" t="str">
        <f t="shared" si="3"/>
        <v>vis</v>
      </c>
      <c r="E37">
        <f>VLOOKUP(C37,Active!C$21:E$973,3,FALSE)</f>
        <v>13061.449167096</v>
      </c>
      <c r="F37" s="8" t="s">
        <v>66</v>
      </c>
      <c r="G37" t="str">
        <f t="shared" si="4"/>
        <v>54220.5156</v>
      </c>
      <c r="H37" s="18">
        <f t="shared" si="5"/>
        <v>13063</v>
      </c>
      <c r="I37" s="27" t="s">
        <v>175</v>
      </c>
      <c r="J37" s="28" t="s">
        <v>176</v>
      </c>
      <c r="K37" s="27">
        <v>13063</v>
      </c>
      <c r="L37" s="27" t="s">
        <v>171</v>
      </c>
      <c r="M37" s="28" t="s">
        <v>165</v>
      </c>
      <c r="N37" s="28" t="s">
        <v>172</v>
      </c>
      <c r="O37" s="29" t="s">
        <v>173</v>
      </c>
      <c r="P37" s="30" t="s">
        <v>174</v>
      </c>
    </row>
    <row r="38" spans="1:16" ht="12.75" customHeight="1">
      <c r="A38" s="18" t="str">
        <f t="shared" si="0"/>
        <v>IBVS 5992 </v>
      </c>
      <c r="B38" s="8" t="str">
        <f t="shared" si="1"/>
        <v>I</v>
      </c>
      <c r="C38" s="18">
        <f t="shared" si="2"/>
        <v>55602.874000000003</v>
      </c>
      <c r="D38" t="str">
        <f t="shared" si="3"/>
        <v>vis</v>
      </c>
      <c r="E38">
        <f>VLOOKUP(C38,Active!C$21:E$973,3,FALSE)</f>
        <v>15039.751302306951</v>
      </c>
      <c r="F38" s="8" t="s">
        <v>66</v>
      </c>
      <c r="G38" t="str">
        <f t="shared" si="4"/>
        <v>55602.874</v>
      </c>
      <c r="H38" s="18">
        <f t="shared" si="5"/>
        <v>15042</v>
      </c>
      <c r="I38" s="27" t="s">
        <v>177</v>
      </c>
      <c r="J38" s="28" t="s">
        <v>178</v>
      </c>
      <c r="K38" s="27">
        <v>15042</v>
      </c>
      <c r="L38" s="27" t="s">
        <v>179</v>
      </c>
      <c r="M38" s="28" t="s">
        <v>165</v>
      </c>
      <c r="N38" s="28" t="s">
        <v>66</v>
      </c>
      <c r="O38" s="29" t="s">
        <v>72</v>
      </c>
      <c r="P38" s="30" t="s">
        <v>180</v>
      </c>
    </row>
    <row r="39" spans="1:16" ht="12.75" customHeight="1">
      <c r="A39" s="18" t="str">
        <f t="shared" si="0"/>
        <v>BAVM 220 </v>
      </c>
      <c r="B39" s="8" t="str">
        <f t="shared" si="1"/>
        <v>I</v>
      </c>
      <c r="C39" s="18">
        <f t="shared" si="2"/>
        <v>55643.4067</v>
      </c>
      <c r="D39" t="str">
        <f t="shared" si="3"/>
        <v>vis</v>
      </c>
      <c r="E39">
        <f>VLOOKUP(C39,Active!C$21:E$973,3,FALSE)</f>
        <v>15097.757914019121</v>
      </c>
      <c r="F39" s="8" t="s">
        <v>66</v>
      </c>
      <c r="G39" t="str">
        <f t="shared" si="4"/>
        <v>55643.4067</v>
      </c>
      <c r="H39" s="18">
        <f t="shared" si="5"/>
        <v>15100</v>
      </c>
      <c r="I39" s="27" t="s">
        <v>181</v>
      </c>
      <c r="J39" s="28" t="s">
        <v>182</v>
      </c>
      <c r="K39" s="27">
        <v>15100</v>
      </c>
      <c r="L39" s="27" t="s">
        <v>183</v>
      </c>
      <c r="M39" s="28" t="s">
        <v>165</v>
      </c>
      <c r="N39" s="28" t="s">
        <v>172</v>
      </c>
      <c r="O39" s="29" t="s">
        <v>173</v>
      </c>
      <c r="P39" s="30" t="s">
        <v>184</v>
      </c>
    </row>
    <row r="40" spans="1:16" ht="12.75" customHeight="1">
      <c r="A40" s="18" t="str">
        <f t="shared" si="0"/>
        <v>BAVM 220 </v>
      </c>
      <c r="B40" s="8" t="str">
        <f t="shared" si="1"/>
        <v>I</v>
      </c>
      <c r="C40" s="18">
        <f t="shared" si="2"/>
        <v>55644.463000000003</v>
      </c>
      <c r="D40" t="str">
        <f t="shared" si="3"/>
        <v>vis</v>
      </c>
      <c r="E40">
        <f>VLOOKUP(C40,Active!C$21:E$973,3,FALSE)</f>
        <v>15099.269591848424</v>
      </c>
      <c r="F40" s="8" t="s">
        <v>66</v>
      </c>
      <c r="G40" t="str">
        <f t="shared" si="4"/>
        <v>55644.4630</v>
      </c>
      <c r="H40" s="18">
        <f t="shared" si="5"/>
        <v>15101</v>
      </c>
      <c r="I40" s="27" t="s">
        <v>185</v>
      </c>
      <c r="J40" s="28" t="s">
        <v>186</v>
      </c>
      <c r="K40" s="27">
        <v>15101</v>
      </c>
      <c r="L40" s="27" t="s">
        <v>187</v>
      </c>
      <c r="M40" s="28" t="s">
        <v>165</v>
      </c>
      <c r="N40" s="28" t="s">
        <v>172</v>
      </c>
      <c r="O40" s="29" t="s">
        <v>173</v>
      </c>
      <c r="P40" s="30" t="s">
        <v>184</v>
      </c>
    </row>
    <row r="41" spans="1:16" ht="12.75" customHeight="1">
      <c r="A41" s="18" t="str">
        <f t="shared" si="0"/>
        <v>IBVS 6029 </v>
      </c>
      <c r="B41" s="8" t="str">
        <f t="shared" si="1"/>
        <v>I</v>
      </c>
      <c r="C41" s="18">
        <f t="shared" si="2"/>
        <v>55959.9257</v>
      </c>
      <c r="D41" t="str">
        <f t="shared" si="3"/>
        <v>vis</v>
      </c>
      <c r="E41">
        <f>VLOOKUP(C41,Active!C$21:E$973,3,FALSE)</f>
        <v>15550.730322285193</v>
      </c>
      <c r="F41" s="8" t="s">
        <v>66</v>
      </c>
      <c r="G41" t="str">
        <f t="shared" si="4"/>
        <v>55959.9257</v>
      </c>
      <c r="H41" s="18">
        <f t="shared" si="5"/>
        <v>15553</v>
      </c>
      <c r="I41" s="27" t="s">
        <v>188</v>
      </c>
      <c r="J41" s="28" t="s">
        <v>189</v>
      </c>
      <c r="K41" s="27">
        <v>15553</v>
      </c>
      <c r="L41" s="27" t="s">
        <v>190</v>
      </c>
      <c r="M41" s="28" t="s">
        <v>165</v>
      </c>
      <c r="N41" s="28" t="s">
        <v>66</v>
      </c>
      <c r="O41" s="29" t="s">
        <v>72</v>
      </c>
      <c r="P41" s="30" t="s">
        <v>191</v>
      </c>
    </row>
    <row r="42" spans="1:16" ht="12.75" customHeight="1">
      <c r="A42" s="18" t="str">
        <f t="shared" si="0"/>
        <v>IBVS 6029 </v>
      </c>
      <c r="B42" s="8" t="str">
        <f t="shared" si="1"/>
        <v>I</v>
      </c>
      <c r="C42" s="18">
        <f t="shared" si="2"/>
        <v>56034.6826</v>
      </c>
      <c r="D42" t="str">
        <f t="shared" si="3"/>
        <v>vis</v>
      </c>
      <c r="E42">
        <f>VLOOKUP(C42,Active!C$21:E$973,3,FALSE)</f>
        <v>15657.715410155135</v>
      </c>
      <c r="F42" s="8" t="s">
        <v>66</v>
      </c>
      <c r="G42" t="str">
        <f t="shared" si="4"/>
        <v>56034.6826</v>
      </c>
      <c r="H42" s="18">
        <f t="shared" si="5"/>
        <v>15660</v>
      </c>
      <c r="I42" s="27" t="s">
        <v>192</v>
      </c>
      <c r="J42" s="28" t="s">
        <v>193</v>
      </c>
      <c r="K42" s="27">
        <v>15660</v>
      </c>
      <c r="L42" s="27" t="s">
        <v>194</v>
      </c>
      <c r="M42" s="28" t="s">
        <v>165</v>
      </c>
      <c r="N42" s="28" t="s">
        <v>66</v>
      </c>
      <c r="O42" s="29" t="s">
        <v>72</v>
      </c>
      <c r="P42" s="30" t="s">
        <v>191</v>
      </c>
    </row>
    <row r="43" spans="1:16" ht="12.75" customHeight="1">
      <c r="A43" s="18" t="str">
        <f t="shared" si="0"/>
        <v> BBS 124 </v>
      </c>
      <c r="B43" s="8" t="str">
        <f t="shared" si="1"/>
        <v>I</v>
      </c>
      <c r="C43" s="18">
        <f t="shared" si="2"/>
        <v>51942.4493</v>
      </c>
      <c r="D43" t="str">
        <f t="shared" si="3"/>
        <v>vis</v>
      </c>
      <c r="E43">
        <f>VLOOKUP(C43,Active!C$21:E$973,3,FALSE)</f>
        <v>9801.2936058160194</v>
      </c>
      <c r="F43" s="8" t="s">
        <v>66</v>
      </c>
      <c r="G43" t="str">
        <f t="shared" si="4"/>
        <v>51942.4493</v>
      </c>
      <c r="H43" s="18">
        <f t="shared" si="5"/>
        <v>9803</v>
      </c>
      <c r="I43" s="27" t="s">
        <v>195</v>
      </c>
      <c r="J43" s="28" t="s">
        <v>196</v>
      </c>
      <c r="K43" s="27">
        <v>9803</v>
      </c>
      <c r="L43" s="27" t="s">
        <v>197</v>
      </c>
      <c r="M43" s="28" t="s">
        <v>153</v>
      </c>
      <c r="N43" s="28" t="s">
        <v>154</v>
      </c>
      <c r="O43" s="29" t="s">
        <v>72</v>
      </c>
      <c r="P43" s="29" t="s">
        <v>198</v>
      </c>
    </row>
    <row r="44" spans="1:16" ht="12.75" customHeight="1">
      <c r="A44" s="18" t="str">
        <f t="shared" si="0"/>
        <v>OEJV 0074 </v>
      </c>
      <c r="B44" s="8" t="str">
        <f t="shared" si="1"/>
        <v>I</v>
      </c>
      <c r="C44" s="18">
        <f t="shared" si="2"/>
        <v>52042.425999999999</v>
      </c>
      <c r="D44" t="str">
        <f t="shared" si="3"/>
        <v>vis</v>
      </c>
      <c r="E44">
        <f>VLOOKUP(C44,Active!C$21:E$973,3,FALSE)</f>
        <v>9944.3709141908548</v>
      </c>
      <c r="F44" s="8" t="s">
        <v>66</v>
      </c>
      <c r="G44" t="str">
        <f t="shared" si="4"/>
        <v>52042.426</v>
      </c>
      <c r="H44" s="18">
        <f t="shared" si="5"/>
        <v>9946</v>
      </c>
      <c r="I44" s="27" t="s">
        <v>199</v>
      </c>
      <c r="J44" s="28" t="s">
        <v>200</v>
      </c>
      <c r="K44" s="27">
        <v>9946</v>
      </c>
      <c r="L44" s="27" t="s">
        <v>201</v>
      </c>
      <c r="M44" s="28" t="s">
        <v>71</v>
      </c>
      <c r="N44" s="28"/>
      <c r="O44" s="29" t="s">
        <v>202</v>
      </c>
      <c r="P44" s="30" t="s">
        <v>168</v>
      </c>
    </row>
    <row r="45" spans="1:16" ht="12.75" customHeight="1">
      <c r="A45" s="18" t="str">
        <f t="shared" si="0"/>
        <v>VSB 44 </v>
      </c>
      <c r="B45" s="8" t="str">
        <f t="shared" si="1"/>
        <v>II</v>
      </c>
      <c r="C45" s="18">
        <f t="shared" si="2"/>
        <v>53515.004300000001</v>
      </c>
      <c r="D45" t="str">
        <f t="shared" si="3"/>
        <v>vis</v>
      </c>
      <c r="E45">
        <f>VLOOKUP(C45,Active!C$21:E$973,3,FALSE)</f>
        <v>12051.787337569413</v>
      </c>
      <c r="F45" s="8" t="s">
        <v>66</v>
      </c>
      <c r="G45" t="str">
        <f t="shared" si="4"/>
        <v>53515.0043</v>
      </c>
      <c r="H45" s="18">
        <f t="shared" si="5"/>
        <v>12053.5</v>
      </c>
      <c r="I45" s="27" t="s">
        <v>203</v>
      </c>
      <c r="J45" s="28" t="s">
        <v>204</v>
      </c>
      <c r="K45" s="27">
        <v>12053.5</v>
      </c>
      <c r="L45" s="27" t="s">
        <v>205</v>
      </c>
      <c r="M45" s="28" t="s">
        <v>153</v>
      </c>
      <c r="N45" s="28" t="s">
        <v>154</v>
      </c>
      <c r="O45" s="29" t="s">
        <v>206</v>
      </c>
      <c r="P45" s="30" t="s">
        <v>207</v>
      </c>
    </row>
  </sheetData>
  <sheetProtection selectLockedCells="1" selectUnlockedCells="1"/>
  <hyperlinks>
    <hyperlink ref="P33" r:id="rId1"/>
    <hyperlink ref="P34" r:id="rId2"/>
    <hyperlink ref="P35" r:id="rId3"/>
    <hyperlink ref="P36" r:id="rId4"/>
    <hyperlink ref="P37" r:id="rId5"/>
    <hyperlink ref="P38" r:id="rId6"/>
    <hyperlink ref="P39" r:id="rId7"/>
    <hyperlink ref="P40" r:id="rId8"/>
    <hyperlink ref="P41" r:id="rId9"/>
    <hyperlink ref="P42" r:id="rId10"/>
    <hyperlink ref="P44" r:id="rId11"/>
    <hyperlink ref="P45" r:id="rId1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2023-08-17T08:14:15Z</dcterms:created>
  <dcterms:modified xsi:type="dcterms:W3CDTF">2023-08-17T08:14:15Z</dcterms:modified>
</cp:coreProperties>
</file>