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EEB3363-BCDE-4EE7-B944-096456024694}" xr6:coauthVersionLast="47" xr6:coauthVersionMax="47" xr10:uidLastSave="{00000000-0000-0000-0000-000000000000}"/>
  <bookViews>
    <workbookView xWindow="14460" yWindow="180" windowWidth="14535" windowHeight="1449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4" i="1" l="1"/>
  <c r="F44" i="1"/>
  <c r="G44" i="1" s="1"/>
  <c r="K44" i="1" s="1"/>
  <c r="Q44" i="1"/>
  <c r="E45" i="1"/>
  <c r="F45" i="1"/>
  <c r="G45" i="1" s="1"/>
  <c r="K45" i="1" s="1"/>
  <c r="Q45" i="1"/>
  <c r="E46" i="1"/>
  <c r="F46" i="1"/>
  <c r="G46" i="1" s="1"/>
  <c r="K46" i="1" s="1"/>
  <c r="Q46" i="1"/>
  <c r="E47" i="1"/>
  <c r="F47" i="1"/>
  <c r="G47" i="1" s="1"/>
  <c r="K47" i="1" s="1"/>
  <c r="Q47" i="1"/>
  <c r="F4" i="1"/>
  <c r="G4" i="1"/>
  <c r="C9" i="1"/>
  <c r="D9" i="1"/>
  <c r="F16" i="1"/>
  <c r="C17" i="1"/>
  <c r="E21" i="1"/>
  <c r="F21" i="1"/>
  <c r="G21" i="1"/>
  <c r="H21" i="1"/>
  <c r="Q21" i="1"/>
  <c r="E22" i="1"/>
  <c r="F22" i="1"/>
  <c r="G22" i="1"/>
  <c r="K22" i="1"/>
  <c r="Q22" i="1"/>
  <c r="E23" i="1"/>
  <c r="F23" i="1"/>
  <c r="G23" i="1"/>
  <c r="J23" i="1"/>
  <c r="Q23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J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K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A11" i="2"/>
  <c r="B11" i="2"/>
  <c r="D11" i="2"/>
  <c r="G11" i="2"/>
  <c r="C11" i="2"/>
  <c r="E11" i="2"/>
  <c r="H11" i="2"/>
  <c r="A12" i="2"/>
  <c r="C12" i="2"/>
  <c r="E12" i="2"/>
  <c r="D12" i="2"/>
  <c r="G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B17" i="2"/>
  <c r="D17" i="2"/>
  <c r="G17" i="2"/>
  <c r="C17" i="2"/>
  <c r="E17" i="2"/>
  <c r="H17" i="2"/>
  <c r="A18" i="2"/>
  <c r="B18" i="2"/>
  <c r="D18" i="2"/>
  <c r="G18" i="2"/>
  <c r="C18" i="2"/>
  <c r="E18" i="2"/>
  <c r="H18" i="2"/>
  <c r="A19" i="2"/>
  <c r="B19" i="2"/>
  <c r="C19" i="2"/>
  <c r="E19" i="2"/>
  <c r="D19" i="2"/>
  <c r="G19" i="2"/>
  <c r="H19" i="2"/>
  <c r="A20" i="2"/>
  <c r="C20" i="2"/>
  <c r="E20" i="2"/>
  <c r="D20" i="2"/>
  <c r="G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C24" i="2"/>
  <c r="E24" i="2"/>
  <c r="D24" i="2"/>
  <c r="G24" i="2"/>
  <c r="H24" i="2"/>
  <c r="B24" i="2"/>
  <c r="A25" i="2"/>
  <c r="B25" i="2"/>
  <c r="D25" i="2"/>
  <c r="G25" i="2"/>
  <c r="C25" i="2"/>
  <c r="E25" i="2"/>
  <c r="H25" i="2"/>
  <c r="A26" i="2"/>
  <c r="B26" i="2"/>
  <c r="C26" i="2"/>
  <c r="E26" i="2"/>
  <c r="D26" i="2"/>
  <c r="G26" i="2"/>
  <c r="H26" i="2"/>
  <c r="A27" i="2"/>
  <c r="B27" i="2"/>
  <c r="C27" i="2"/>
  <c r="E27" i="2"/>
  <c r="D27" i="2"/>
  <c r="G27" i="2"/>
  <c r="H27" i="2"/>
  <c r="A28" i="2"/>
  <c r="C28" i="2"/>
  <c r="E28" i="2"/>
  <c r="D28" i="2"/>
  <c r="G28" i="2"/>
  <c r="H28" i="2"/>
  <c r="B28" i="2"/>
  <c r="C11" i="1"/>
  <c r="C12" i="1"/>
  <c r="O46" i="1" l="1"/>
  <c r="O45" i="1"/>
  <c r="O44" i="1"/>
  <c r="O47" i="1"/>
  <c r="C16" i="1"/>
  <c r="D18" i="1" s="1"/>
  <c r="O37" i="1"/>
  <c r="O42" i="1"/>
  <c r="O29" i="1"/>
  <c r="C15" i="1"/>
  <c r="O23" i="1"/>
  <c r="O35" i="1"/>
  <c r="O28" i="1"/>
  <c r="O27" i="1"/>
  <c r="O25" i="1"/>
  <c r="O34" i="1"/>
  <c r="O21" i="1"/>
  <c r="O22" i="1"/>
  <c r="O26" i="1"/>
  <c r="O24" i="1"/>
  <c r="O41" i="1"/>
  <c r="O32" i="1"/>
  <c r="O40" i="1"/>
  <c r="O39" i="1"/>
  <c r="O33" i="1"/>
  <c r="O36" i="1"/>
  <c r="O30" i="1"/>
  <c r="O31" i="1"/>
  <c r="O43" i="1"/>
  <c r="O38" i="1"/>
  <c r="F17" i="1"/>
  <c r="C18" i="1" l="1"/>
  <c r="F18" i="1"/>
  <c r="F19" i="1" s="1"/>
</calcChain>
</file>

<file path=xl/sharedStrings.xml><?xml version="1.0" encoding="utf-8"?>
<sst xmlns="http://schemas.openxmlformats.org/spreadsheetml/2006/main" count="275" uniqueCount="163">
  <si>
    <t>MS UMa / GSC 3453-1714</t>
  </si>
  <si>
    <t>EW</t>
  </si>
  <si>
    <t>GRAV</t>
  </si>
  <si>
    <t>not avail.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</si>
  <si>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</si>
  <si>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</si>
  <si>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</si>
  <si>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</si>
  <si>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</si>
  <si>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</si>
  <si>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</si>
  <si>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</si>
  <si>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</si>
  <si>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</si>
  <si>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</si>
  <si>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</si>
  <si>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</si>
  <si>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</si>
  <si>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</si>
  <si>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</si>
  <si>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</si>
  <si>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</si>
  <si>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</si>
  <si>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</si>
  <si>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</si>
  <si>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</si>
  <si>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</si>
  <si>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</si>
  <si>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</si>
  <si>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</si>
  <si>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</si>
  <si>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</si>
  <si>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</si>
  <si>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</si>
  <si>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</si>
  <si>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</si>
  <si>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</si>
  <si>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</si>
  <si>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</si>
  <si>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</si>
  <si>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</si>
  <si>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</si>
  <si>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</si>
  <si>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</si>
  <si>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</si>
  <si>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5894</t>
  </si>
  <si>
    <t>I</t>
  </si>
  <si>
    <t>IBVS 5959</t>
  </si>
  <si>
    <t>II</t>
  </si>
  <si>
    <t>IBVS 5918</t>
  </si>
  <si>
    <t>IBVS 5945</t>
  </si>
  <si>
    <t>IBVS 5992</t>
  </si>
  <si>
    <t>IBVS 6010</t>
  </si>
  <si>
    <t>OEJV 0160</t>
  </si>
  <si>
    <t>IBVS 6050</t>
  </si>
  <si>
    <t>IBVS 6029</t>
  </si>
  <si>
    <t>IBVS 6033</t>
  </si>
  <si>
    <t>IBVS 6084</t>
  </si>
  <si>
    <t>IBVS 6048</t>
  </si>
  <si>
    <t>IBVS 6118</t>
  </si>
  <si>
    <t>OEJV 0179</t>
  </si>
  <si>
    <t>IBVS 6244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</si>
  <si>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</si>
  <si>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</si>
  <si>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</si>
  <si>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</si>
  <si>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</si>
  <si>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</si>
  <si>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</si>
  <si>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</si>
  <si>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2454865.9317 </t>
  </si>
  <si>
    <t> 03.02.2009 10:21 </t>
  </si>
  <si>
    <t> 0.0318 </t>
  </si>
  <si>
    <t>C </t>
  </si>
  <si>
    <t> R.Diethelm </t>
  </si>
  <si>
    <t>IBVS 5894 </t>
  </si>
  <si>
    <t>2454922.3604 </t>
  </si>
  <si>
    <t> 31.03.2009 20:38 </t>
  </si>
  <si>
    <t> 0.0327 </t>
  </si>
  <si>
    <t>-U;-I</t>
  </si>
  <si>
    <t> K.&amp; M.Rätz </t>
  </si>
  <si>
    <t>BAVM 214 </t>
  </si>
  <si>
    <t>2454932.4150 </t>
  </si>
  <si>
    <t> 10.04.2009 21:57 </t>
  </si>
  <si>
    <t>8208</t>
  </si>
  <si>
    <t> 0.0329 </t>
  </si>
  <si>
    <t>-I</t>
  </si>
  <si>
    <t> F.Agerer </t>
  </si>
  <si>
    <t>BAVM 209 </t>
  </si>
  <si>
    <t>2454932.6207 </t>
  </si>
  <si>
    <t> 11.04.2009 02:53 </t>
  </si>
  <si>
    <t>8208.5</t>
  </si>
  <si>
    <t> 0.0334 </t>
  </si>
  <si>
    <t>2455243.6924 </t>
  </si>
  <si>
    <t> 16.02.2010 04:37 </t>
  </si>
  <si>
    <t>8966.5</t>
  </si>
  <si>
    <t> 0.0341 </t>
  </si>
  <si>
    <t>IBVS 5945 </t>
  </si>
  <si>
    <t>2455605.8587 </t>
  </si>
  <si>
    <t> 13.02.2011 08:36 </t>
  </si>
  <si>
    <t>9849</t>
  </si>
  <si>
    <t> 0.0365 </t>
  </si>
  <si>
    <t>IBVS 5992 </t>
  </si>
  <si>
    <t>2455650.3854 </t>
  </si>
  <si>
    <t> 29.03.2011 21:14 </t>
  </si>
  <si>
    <t>9957.5</t>
  </si>
  <si>
    <t>BAVM 220 </t>
  </si>
  <si>
    <t>2455654.48823 </t>
  </si>
  <si>
    <t> 02.04.2011 23:43 </t>
  </si>
  <si>
    <t>9967.5</t>
  </si>
  <si>
    <t> 0.03551 </t>
  </si>
  <si>
    <t> M.Zibar </t>
  </si>
  <si>
    <t>OEJV 0160 </t>
  </si>
  <si>
    <t>2455674.8050 </t>
  </si>
  <si>
    <t> 23.04.2011 07:19 </t>
  </si>
  <si>
    <t>10017</t>
  </si>
  <si>
    <t> 0.0383 </t>
  </si>
  <si>
    <t>2455971.9181 </t>
  </si>
  <si>
    <t> 14.02.2012 10:02 </t>
  </si>
  <si>
    <t>10741</t>
  </si>
  <si>
    <t>IBVS 6029 </t>
  </si>
  <si>
    <t>2456008.4486 </t>
  </si>
  <si>
    <t> 21.03.2012 22:45 </t>
  </si>
  <si>
    <t>10830</t>
  </si>
  <si>
    <t> 0.0397 </t>
  </si>
  <si>
    <t> K. &amp; M.Rätz </t>
  </si>
  <si>
    <t>BAVM 232 </t>
  </si>
  <si>
    <t>2456008.6523 </t>
  </si>
  <si>
    <t> 22.03.2012 03:39 </t>
  </si>
  <si>
    <t>10830.5</t>
  </si>
  <si>
    <t> 0.0382 </t>
  </si>
  <si>
    <t>2456009.4749 </t>
  </si>
  <si>
    <t> 22.03.2012 23:23 </t>
  </si>
  <si>
    <t>10832.5</t>
  </si>
  <si>
    <t> 0.0400 </t>
  </si>
  <si>
    <t>BAVM 228 </t>
  </si>
  <si>
    <t>2456034.7099 </t>
  </si>
  <si>
    <t> 17.04.2012 05:02 </t>
  </si>
  <si>
    <t>10894</t>
  </si>
  <si>
    <t> 0.0364 </t>
  </si>
  <si>
    <t>2456408.375 </t>
  </si>
  <si>
    <t> 25.04.2013 21:00 </t>
  </si>
  <si>
    <t>11804.5</t>
  </si>
  <si>
    <t> 0.047 </t>
  </si>
  <si>
    <t> M.&amp; K.Rätz </t>
  </si>
  <si>
    <t>BAVM 234 </t>
  </si>
  <si>
    <t>2456408.5763 </t>
  </si>
  <si>
    <t> 26.04.2013 01:49 </t>
  </si>
  <si>
    <t>11805</t>
  </si>
  <si>
    <t> 0.0430 </t>
  </si>
  <si>
    <t>2455938.885 </t>
  </si>
  <si>
    <t> 12.01.2012 09:14 </t>
  </si>
  <si>
    <t>10660.5</t>
  </si>
  <si>
    <t> 0.036 </t>
  </si>
  <si>
    <t> R.Nelson </t>
  </si>
  <si>
    <t>IBVS 6050 </t>
  </si>
  <si>
    <t>2455983.4140 </t>
  </si>
  <si>
    <t> 25.02.2012 21:56 </t>
  </si>
  <si>
    <t>10769</t>
  </si>
  <si>
    <t> 0.0385 </t>
  </si>
  <si>
    <t> P.Aceti </t>
  </si>
  <si>
    <t>IBVS 6033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</si>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</sst>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7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vertical="center"/>
    </xf>
    <xf numFmtId="0" fontId="0" fillId="0" borderId="1" xfId="0" applyFont="1" applyBorder="1">
      <alignment vertical="top"/>
    </xf>
    <xf numFmtId="0" fontId="0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3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4" fillId="0" borderId="0" xfId="0" applyFont="1">
      <alignment vertical="top"/>
    </xf>
    <xf numFmtId="0" fontId="0" fillId="0" borderId="0" xfId="0" applyAlignment="1">
      <alignment horizontal="center"/>
    </xf>
    <xf numFmtId="0" fontId="6" fillId="0" borderId="0" xfId="0" applyFont="1">
      <alignment vertical="top"/>
    </xf>
    <xf numFmtId="0" fontId="4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4" fillId="0" borderId="0" xfId="0" applyNumberFormat="1" applyFont="1">
      <alignment vertical="top"/>
    </xf>
    <xf numFmtId="0" fontId="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/>
    <xf numFmtId="0" fontId="2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horizontal="left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 wrapText="1"/>
    </xf>
    <xf numFmtId="0" fontId="11" fillId="0" borderId="0" xfId="7" applyFont="1" applyAlignment="1">
      <alignment horizontal="left" wrapText="1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2" fillId="3" borderId="12" xfId="0" applyFont="1" applyFill="1" applyBorder="1" applyAlignment="1">
      <alignment horizontal="left" vertical="top" wrapText="1" indent="1"/>
    </xf>
    <xf numFmtId="0" fontId="2" fillId="3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right" vertical="top" wrapText="1"/>
    </xf>
    <xf numFmtId="0" fontId="13" fillId="3" borderId="12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69" fontId="15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UMa -- O-C Diagr.</a:t>
            </a:r>
          </a:p>
        </c:rich>
      </c:tx>
      <c:layout>
        <c:manualLayout>
          <c:xMode val="edge"/>
          <c:yMode val="edge"/>
          <c:x val="0.3699248120300752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2706766917293"/>
          <c:y val="0.22822889753688513"/>
          <c:w val="0.82105263157894737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</c:numCache>
            </c:numRef>
          </c:xVal>
          <c:yVal>
            <c:numRef>
              <c:f>Active!$H$21:$H$43</c:f>
              <c:numCache>
                <c:formatCode>General</c:formatCode>
                <c:ptCount val="2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1B-4F2B-BC09-5EB070572D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</c:numCache>
            </c:numRef>
          </c:xVal>
          <c:yVal>
            <c:numRef>
              <c:f>Active!$I$21:$I$43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1B-4F2B-BC09-5EB070572DE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</c:numCache>
            </c:numRef>
          </c:xVal>
          <c:yVal>
            <c:numRef>
              <c:f>Active!$J$21:$J$43</c:f>
              <c:numCache>
                <c:formatCode>General</c:formatCode>
                <c:ptCount val="23"/>
                <c:pt idx="2">
                  <c:v>3.2736000001023058E-2</c:v>
                </c:pt>
                <c:pt idx="3">
                  <c:v>3.2928000000538304E-2</c:v>
                </c:pt>
                <c:pt idx="4">
                  <c:v>3.3435999997891486E-2</c:v>
                </c:pt>
                <c:pt idx="7">
                  <c:v>3.6520000001473818E-2</c:v>
                </c:pt>
                <c:pt idx="13">
                  <c:v>3.9680000001681037E-2</c:v>
                </c:pt>
                <c:pt idx="14">
                  <c:v>3.8188000005902722E-2</c:v>
                </c:pt>
                <c:pt idx="15">
                  <c:v>4.0020000000367872E-2</c:v>
                </c:pt>
                <c:pt idx="17">
                  <c:v>4.6871999998984393E-2</c:v>
                </c:pt>
                <c:pt idx="18">
                  <c:v>4.2979999998351559E-2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1B-4F2B-BC09-5EB070572DE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</c:numCache>
            </c:numRef>
          </c:xVal>
          <c:yVal>
            <c:numRef>
              <c:f>Active!$K$21:$K$43</c:f>
              <c:numCache>
                <c:formatCode>General</c:formatCode>
                <c:ptCount val="23"/>
                <c:pt idx="1">
                  <c:v>3.1836000001931097E-2</c:v>
                </c:pt>
                <c:pt idx="5">
                  <c:v>3.406399999948917E-2</c:v>
                </c:pt>
                <c:pt idx="6">
                  <c:v>3.6483999996562488E-2</c:v>
                </c:pt>
                <c:pt idx="8">
                  <c:v>3.5510000001522712E-2</c:v>
                </c:pt>
                <c:pt idx="9">
                  <c:v>3.8271999997959938E-2</c:v>
                </c:pt>
                <c:pt idx="10">
                  <c:v>3.6367999993672129E-2</c:v>
                </c:pt>
                <c:pt idx="11">
                  <c:v>3.3355999999912456E-2</c:v>
                </c:pt>
                <c:pt idx="12">
                  <c:v>3.85039999964647E-2</c:v>
                </c:pt>
                <c:pt idx="16">
                  <c:v>3.6403999998583458E-2</c:v>
                </c:pt>
                <c:pt idx="19">
                  <c:v>4.9844000001030508E-2</c:v>
                </c:pt>
                <c:pt idx="20">
                  <c:v>5.5086000000301283E-2</c:v>
                </c:pt>
                <c:pt idx="21">
                  <c:v>5.6219999998575076E-2</c:v>
                </c:pt>
                <c:pt idx="22">
                  <c:v>5.7569999902625568E-2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1B-4F2B-BC09-5EB070572DE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</c:numCache>
            </c:numRef>
          </c:xVal>
          <c:yVal>
            <c:numRef>
              <c:f>Active!$L$21:$L$43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1B-4F2B-BC09-5EB070572D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</c:numCache>
            </c:numRef>
          </c:xVal>
          <c:yVal>
            <c:numRef>
              <c:f>Active!$M$21:$M$43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1B-4F2B-BC09-5EB070572D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</c:numCache>
            </c:numRef>
          </c:xVal>
          <c:yVal>
            <c:numRef>
              <c:f>Active!$N$21:$N$43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1B-4F2B-BC09-5EB070572D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</c:numCache>
            </c:numRef>
          </c:xVal>
          <c:yVal>
            <c:numRef>
              <c:f>Active!$O$21:$O$43</c:f>
              <c:numCache>
                <c:formatCode>General</c:formatCode>
                <c:ptCount val="23"/>
                <c:pt idx="0">
                  <c:v>-5.4254976594534238E-3</c:v>
                </c:pt>
                <c:pt idx="1">
                  <c:v>2.856133074833498E-2</c:v>
                </c:pt>
                <c:pt idx="2">
                  <c:v>2.9142139710063901E-2</c:v>
                </c:pt>
                <c:pt idx="3">
                  <c:v>2.9245629306881057E-2</c:v>
                </c:pt>
                <c:pt idx="4">
                  <c:v>2.9247741339469162E-2</c:v>
                </c:pt>
                <c:pt idx="5">
                  <c:v>3.2449582743036595E-2</c:v>
                </c:pt>
                <c:pt idx="6">
                  <c:v>3.6177320261042221E-2</c:v>
                </c:pt>
                <c:pt idx="7">
                  <c:v>3.6635631332661046E-2</c:v>
                </c:pt>
                <c:pt idx="8">
                  <c:v>3.6677871984423148E-2</c:v>
                </c:pt>
                <c:pt idx="9">
                  <c:v>3.6886963210645558E-2</c:v>
                </c:pt>
                <c:pt idx="10">
                  <c:v>3.9605149151536914E-2</c:v>
                </c:pt>
                <c:pt idx="11">
                  <c:v>3.9945186398221852E-2</c:v>
                </c:pt>
                <c:pt idx="12">
                  <c:v>4.0063460223155739E-2</c:v>
                </c:pt>
                <c:pt idx="13">
                  <c:v>4.0321128198904571E-2</c:v>
                </c:pt>
                <c:pt idx="14">
                  <c:v>4.0323240231492676E-2</c:v>
                </c:pt>
                <c:pt idx="15">
                  <c:v>4.0331688361845093E-2</c:v>
                </c:pt>
                <c:pt idx="16">
                  <c:v>4.0591468370182029E-2</c:v>
                </c:pt>
                <c:pt idx="17">
                  <c:v>4.4437479713121543E-2</c:v>
                </c:pt>
                <c:pt idx="18">
                  <c:v>4.4439591745709654E-2</c:v>
                </c:pt>
                <c:pt idx="19">
                  <c:v>5.181692157596101E-2</c:v>
                </c:pt>
                <c:pt idx="20">
                  <c:v>5.4792775492601198E-2</c:v>
                </c:pt>
                <c:pt idx="21">
                  <c:v>5.8283965360739043E-2</c:v>
                </c:pt>
                <c:pt idx="22">
                  <c:v>5.9424462958315841E-2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1B-4F2B-BC09-5EB070572DE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</c:numCache>
            </c:numRef>
          </c:xVal>
          <c:yVal>
            <c:numRef>
              <c:f>Active!$U$21:$U$43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1B-4F2B-BC09-5EB070572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901400"/>
        <c:axId val="1"/>
      </c:scatterChart>
      <c:valAx>
        <c:axId val="772901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901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94736842105263"/>
          <c:y val="0.91291543512015949"/>
          <c:w val="0.7233082706766916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3AB853-B4F4-A07A-A11B-FD6ACEE52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bav-astro.de/sfs/BAVM_link.php?BAVMnr=228" TargetMode="External"/><Relationship Id="rId18" Type="http://schemas.openxmlformats.org/officeDocument/2006/relationships/hyperlink" Target="http://www.konkoly.hu/cgi-bin/IBVS?6033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20" TargetMode="External"/><Relationship Id="rId12" Type="http://schemas.openxmlformats.org/officeDocument/2006/relationships/hyperlink" Target="http://www.bav-astro.de/sfs/BAVM_link.php?BAVMnr=232" TargetMode="External"/><Relationship Id="rId17" Type="http://schemas.openxmlformats.org/officeDocument/2006/relationships/hyperlink" Target="http://www.konkoly.hu/cgi-bin/IBVS?6050" TargetMode="External"/><Relationship Id="rId2" Type="http://schemas.openxmlformats.org/officeDocument/2006/relationships/hyperlink" Target="http://www.bav-astro.de/sfs/BAVM_link.php?BAVMnr=214" TargetMode="External"/><Relationship Id="rId16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5894" TargetMode="External"/><Relationship Id="rId6" Type="http://schemas.openxmlformats.org/officeDocument/2006/relationships/hyperlink" Target="http://www.konkoly.hu/cgi-bin/IBVS?5992" TargetMode="External"/><Relationship Id="rId11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5945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konkoly.hu/cgi-bin/IBVS?5992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2" ht="20.25" x14ac:dyDescent="0.3">
      <c r="A1" s="2" t="s">
        <v>0</v>
      </c>
      <c r="E1" s="3"/>
      <c r="F1" s="3"/>
      <c r="G1" s="4" t="s">
        <v>1</v>
      </c>
      <c r="H1" s="5" t="s">
        <v>2</v>
      </c>
      <c r="I1" s="6" t="s">
        <v>3</v>
      </c>
      <c r="J1" s="6" t="s">
        <v>3</v>
      </c>
      <c r="K1" s="7">
        <v>51563.950199999999</v>
      </c>
      <c r="L1" s="7">
        <v>0.41038400000000003</v>
      </c>
    </row>
    <row r="2" spans="1:12" x14ac:dyDescent="0.2">
      <c r="A2" s="1" t="s">
        <v>4</v>
      </c>
      <c r="B2" s="1" t="s">
        <v>1</v>
      </c>
      <c r="C2" s="8"/>
    </row>
    <row r="4" spans="1:12" x14ac:dyDescent="0.2">
      <c r="A4" s="9" t="s">
        <v>5</v>
      </c>
      <c r="C4" s="10" t="s">
        <v>3</v>
      </c>
      <c r="D4" s="11" t="s">
        <v>3</v>
      </c>
      <c r="F4" s="12" t="str">
        <f>"F"&amp;B9</f>
        <v>F22</v>
      </c>
      <c r="G4" s="13" t="str">
        <f>"G"&amp;B9</f>
        <v>G22</v>
      </c>
    </row>
    <row r="5" spans="1:12" x14ac:dyDescent="0.2">
      <c r="A5" s="14" t="s">
        <v>6</v>
      </c>
      <c r="B5"/>
      <c r="C5" s="15">
        <v>-9.5</v>
      </c>
      <c r="D5" t="s">
        <v>7</v>
      </c>
    </row>
    <row r="6" spans="1:12" x14ac:dyDescent="0.2">
      <c r="A6" s="16" t="s">
        <v>8</v>
      </c>
    </row>
    <row r="7" spans="1:12" x14ac:dyDescent="0.2">
      <c r="A7" s="1" t="s">
        <v>9</v>
      </c>
      <c r="C7" s="1">
        <v>51563.950199999999</v>
      </c>
    </row>
    <row r="8" spans="1:12" x14ac:dyDescent="0.2">
      <c r="A8" s="1" t="s">
        <v>10</v>
      </c>
      <c r="C8" s="1">
        <v>0.41038400000000003</v>
      </c>
      <c r="D8" s="17" t="s">
        <v>2</v>
      </c>
    </row>
    <row r="9" spans="1:12" x14ac:dyDescent="0.2">
      <c r="A9" s="18" t="s">
        <v>11</v>
      </c>
      <c r="B9" s="19">
        <v>22</v>
      </c>
      <c r="C9" s="12" t="str">
        <f>"F"&amp;B9</f>
        <v>F22</v>
      </c>
      <c r="D9" s="13" t="str">
        <f>"G"&amp;B9</f>
        <v>G22</v>
      </c>
    </row>
    <row r="10" spans="1:12" x14ac:dyDescent="0.2">
      <c r="A10"/>
      <c r="B10"/>
      <c r="C10" s="20" t="s">
        <v>12</v>
      </c>
      <c r="D10" s="20" t="s">
        <v>13</v>
      </c>
      <c r="E10"/>
    </row>
    <row r="11" spans="1:12" x14ac:dyDescent="0.2">
      <c r="A11" t="s">
        <v>14</v>
      </c>
      <c r="B11"/>
      <c r="C11" s="21">
        <f ca="1">INTERCEPT(INDIRECT($D$9):G990,INDIRECT($C$9):F990)</f>
        <v>-5.4254976594534238E-3</v>
      </c>
      <c r="D11" s="22"/>
      <c r="E11"/>
    </row>
    <row r="12" spans="1:12" x14ac:dyDescent="0.2">
      <c r="A12" t="s">
        <v>15</v>
      </c>
      <c r="B12"/>
      <c r="C12" s="21">
        <f ca="1">SLOPE(INDIRECT($D$9):G990,INDIRECT($C$9):F990)</f>
        <v>4.224065176210341E-6</v>
      </c>
      <c r="D12" s="22"/>
      <c r="E12"/>
    </row>
    <row r="13" spans="1:12" x14ac:dyDescent="0.2">
      <c r="A13" t="s">
        <v>16</v>
      </c>
      <c r="B13"/>
      <c r="C13" s="22" t="s">
        <v>17</v>
      </c>
    </row>
    <row r="14" spans="1:12" x14ac:dyDescent="0.2">
      <c r="A14"/>
      <c r="B14"/>
      <c r="C14"/>
    </row>
    <row r="15" spans="1:12" x14ac:dyDescent="0.2">
      <c r="A15" s="23" t="s">
        <v>18</v>
      </c>
      <c r="B15"/>
      <c r="C15" s="24">
        <f ca="1">(C7+C11)+(C8+C12)*INT(MAX(F21:F3531))</f>
        <v>59923.142510485915</v>
      </c>
      <c r="E15" s="25" t="s">
        <v>19</v>
      </c>
      <c r="F15" s="15">
        <v>1</v>
      </c>
    </row>
    <row r="16" spans="1:12" x14ac:dyDescent="0.2">
      <c r="A16" s="23" t="s">
        <v>20</v>
      </c>
      <c r="B16"/>
      <c r="C16" s="24">
        <f ca="1">+C8+C12</f>
        <v>0.41038822406517622</v>
      </c>
      <c r="E16" s="25" t="s">
        <v>21</v>
      </c>
      <c r="F16" s="21">
        <f ca="1">NOW()+15018.5+$C$5/24</f>
        <v>60178.837053240735</v>
      </c>
    </row>
    <row r="17" spans="1:21" x14ac:dyDescent="0.2">
      <c r="A17" s="25" t="s">
        <v>22</v>
      </c>
      <c r="B17"/>
      <c r="C17">
        <f>COUNT(C21:C2189)</f>
        <v>27</v>
      </c>
      <c r="E17" s="25" t="s">
        <v>23</v>
      </c>
      <c r="F17" s="21">
        <f ca="1">ROUND(2*(F16-$C$7)/$C$8,0)/2+F15</f>
        <v>20993.5</v>
      </c>
    </row>
    <row r="18" spans="1:21" x14ac:dyDescent="0.2">
      <c r="A18" s="23" t="s">
        <v>24</v>
      </c>
      <c r="B18"/>
      <c r="C18" s="26">
        <f ca="1">+C15</f>
        <v>59923.142510485915</v>
      </c>
      <c r="D18" s="27">
        <f ca="1">+C16</f>
        <v>0.41038822406517622</v>
      </c>
      <c r="E18" s="25" t="s">
        <v>25</v>
      </c>
      <c r="F18" s="13">
        <f ca="1">ROUND(2*(F16-$C$15)/$C$16,0)/2+F15</f>
        <v>624</v>
      </c>
    </row>
    <row r="19" spans="1:21" x14ac:dyDescent="0.2">
      <c r="E19" s="25" t="s">
        <v>26</v>
      </c>
      <c r="F19" s="28">
        <f ca="1">+$C$15+$C$16*F18-15018.5-$C$5/24</f>
        <v>45161.120595635919</v>
      </c>
    </row>
    <row r="20" spans="1:21" x14ac:dyDescent="0.2">
      <c r="A20" s="20" t="s">
        <v>27</v>
      </c>
      <c r="B20" s="20" t="s">
        <v>28</v>
      </c>
      <c r="C20" s="20" t="s">
        <v>29</v>
      </c>
      <c r="D20" s="20" t="s">
        <v>30</v>
      </c>
      <c r="E20" s="20" t="s">
        <v>31</v>
      </c>
      <c r="F20" s="20" t="s">
        <v>32</v>
      </c>
      <c r="G20" s="20" t="s">
        <v>33</v>
      </c>
      <c r="H20" s="29" t="s">
        <v>34</v>
      </c>
      <c r="I20" s="29" t="s">
        <v>35</v>
      </c>
      <c r="J20" s="29" t="s">
        <v>36</v>
      </c>
      <c r="K20" s="29" t="s">
        <v>37</v>
      </c>
      <c r="L20" s="29" t="s">
        <v>38</v>
      </c>
      <c r="M20" s="29" t="s">
        <v>39</v>
      </c>
      <c r="N20" s="29" t="s">
        <v>40</v>
      </c>
      <c r="O20" s="29" t="s">
        <v>41</v>
      </c>
      <c r="P20" s="29" t="s">
        <v>42</v>
      </c>
      <c r="Q20" s="20" t="s">
        <v>43</v>
      </c>
      <c r="U20" s="30" t="s">
        <v>44</v>
      </c>
    </row>
    <row r="21" spans="1:21" x14ac:dyDescent="0.2">
      <c r="A21" s="17" t="s">
        <v>2</v>
      </c>
      <c r="C21" s="8">
        <v>51563.950199999999</v>
      </c>
      <c r="D21" s="8" t="s">
        <v>17</v>
      </c>
      <c r="E21" s="1">
        <f t="shared" ref="E21:E41" si="0">+(C21-C$7)/C$8</f>
        <v>0</v>
      </c>
      <c r="F21" s="1">
        <f t="shared" ref="F21:F42" si="1">ROUND(2*E21,0)/2</f>
        <v>0</v>
      </c>
      <c r="G21" s="1">
        <f t="shared" ref="G21:G41" si="2">+C21-(C$7+F21*C$8)</f>
        <v>0</v>
      </c>
      <c r="H21" s="1">
        <f>+G21</f>
        <v>0</v>
      </c>
      <c r="O21" s="1">
        <f t="shared" ref="O21:O41" ca="1" si="3">+C$11+C$12*$F21</f>
        <v>-5.4254976594534238E-3</v>
      </c>
      <c r="Q21" s="67">
        <f t="shared" ref="Q21:Q41" si="4">+C21-15018.5</f>
        <v>36545.450199999999</v>
      </c>
    </row>
    <row r="22" spans="1:21" x14ac:dyDescent="0.2">
      <c r="A22" s="31" t="s">
        <v>45</v>
      </c>
      <c r="B22" s="32" t="s">
        <v>46</v>
      </c>
      <c r="C22" s="31">
        <v>54865.931700000001</v>
      </c>
      <c r="D22" s="31">
        <v>2.9999999999999997E-4</v>
      </c>
      <c r="E22" s="1">
        <f t="shared" si="0"/>
        <v>8046.0775761238292</v>
      </c>
      <c r="F22" s="1">
        <f t="shared" si="1"/>
        <v>8046</v>
      </c>
      <c r="G22" s="1">
        <f t="shared" si="2"/>
        <v>3.1836000001931097E-2</v>
      </c>
      <c r="K22" s="1">
        <f>+G22</f>
        <v>3.1836000001931097E-2</v>
      </c>
      <c r="O22" s="1">
        <f t="shared" ca="1" si="3"/>
        <v>2.856133074833498E-2</v>
      </c>
      <c r="Q22" s="67">
        <f t="shared" si="4"/>
        <v>39847.431700000001</v>
      </c>
    </row>
    <row r="23" spans="1:21" x14ac:dyDescent="0.2">
      <c r="A23" s="33" t="s">
        <v>47</v>
      </c>
      <c r="B23" s="34" t="s">
        <v>48</v>
      </c>
      <c r="C23" s="33">
        <v>54922.360399999998</v>
      </c>
      <c r="D23" s="33">
        <v>2.0000000000000001E-4</v>
      </c>
      <c r="E23" s="1">
        <f t="shared" si="0"/>
        <v>8183.5797691917769</v>
      </c>
      <c r="F23" s="1">
        <f t="shared" si="1"/>
        <v>8183.5</v>
      </c>
      <c r="G23" s="1">
        <f t="shared" si="2"/>
        <v>3.2736000001023058E-2</v>
      </c>
      <c r="J23" s="1">
        <f>+G23</f>
        <v>3.2736000001023058E-2</v>
      </c>
      <c r="O23" s="1">
        <f t="shared" ca="1" si="3"/>
        <v>2.9142139710063901E-2</v>
      </c>
      <c r="Q23" s="67">
        <f t="shared" si="4"/>
        <v>39903.860399999998</v>
      </c>
    </row>
    <row r="24" spans="1:21" x14ac:dyDescent="0.2">
      <c r="A24" s="33" t="s">
        <v>49</v>
      </c>
      <c r="B24" s="34" t="s">
        <v>46</v>
      </c>
      <c r="C24" s="33">
        <v>54932.415000000001</v>
      </c>
      <c r="D24" s="33">
        <v>2.0000000000000001E-4</v>
      </c>
      <c r="E24" s="1">
        <f t="shared" si="0"/>
        <v>8208.0802370462825</v>
      </c>
      <c r="F24" s="1">
        <f t="shared" si="1"/>
        <v>8208</v>
      </c>
      <c r="G24" s="1">
        <f t="shared" si="2"/>
        <v>3.2928000000538304E-2</v>
      </c>
      <c r="J24" s="1">
        <f>+G24</f>
        <v>3.2928000000538304E-2</v>
      </c>
      <c r="O24" s="1">
        <f t="shared" ca="1" si="3"/>
        <v>2.9245629306881057E-2</v>
      </c>
      <c r="Q24" s="67">
        <f t="shared" si="4"/>
        <v>39913.915000000001</v>
      </c>
    </row>
    <row r="25" spans="1:21" x14ac:dyDescent="0.2">
      <c r="A25" s="33" t="s">
        <v>49</v>
      </c>
      <c r="B25" s="34" t="s">
        <v>48</v>
      </c>
      <c r="C25" s="33">
        <v>54932.620699999999</v>
      </c>
      <c r="D25" s="33">
        <v>1E-3</v>
      </c>
      <c r="E25" s="1">
        <f t="shared" si="0"/>
        <v>8208.5814749113033</v>
      </c>
      <c r="F25" s="1">
        <f t="shared" si="1"/>
        <v>8208.5</v>
      </c>
      <c r="G25" s="1">
        <f t="shared" si="2"/>
        <v>3.3435999997891486E-2</v>
      </c>
      <c r="J25" s="1">
        <f>+G25</f>
        <v>3.3435999997891486E-2</v>
      </c>
      <c r="O25" s="1">
        <f t="shared" ca="1" si="3"/>
        <v>2.9247741339469162E-2</v>
      </c>
      <c r="Q25" s="67">
        <f t="shared" si="4"/>
        <v>39914.120699999999</v>
      </c>
    </row>
    <row r="26" spans="1:21" x14ac:dyDescent="0.2">
      <c r="A26" s="33" t="s">
        <v>50</v>
      </c>
      <c r="B26" s="34" t="s">
        <v>48</v>
      </c>
      <c r="C26" s="33">
        <v>55243.6924</v>
      </c>
      <c r="D26" s="33">
        <v>5.0000000000000001E-4</v>
      </c>
      <c r="E26" s="1">
        <f t="shared" si="0"/>
        <v>8966.5830051853882</v>
      </c>
      <c r="F26" s="1">
        <f t="shared" si="1"/>
        <v>8966.5</v>
      </c>
      <c r="G26" s="1">
        <f t="shared" si="2"/>
        <v>3.406399999948917E-2</v>
      </c>
      <c r="K26" s="1">
        <f>+G26</f>
        <v>3.406399999948917E-2</v>
      </c>
      <c r="O26" s="1">
        <f t="shared" ca="1" si="3"/>
        <v>3.2449582743036595E-2</v>
      </c>
      <c r="Q26" s="67">
        <f t="shared" si="4"/>
        <v>40225.1924</v>
      </c>
    </row>
    <row r="27" spans="1:21" x14ac:dyDescent="0.2">
      <c r="A27" s="33" t="s">
        <v>51</v>
      </c>
      <c r="B27" s="34" t="s">
        <v>46</v>
      </c>
      <c r="C27" s="33">
        <v>55605.858699999997</v>
      </c>
      <c r="D27" s="33">
        <v>4.0000000000000002E-4</v>
      </c>
      <c r="E27" s="1">
        <f t="shared" si="0"/>
        <v>9849.0889021014409</v>
      </c>
      <c r="F27" s="1">
        <f t="shared" si="1"/>
        <v>9849</v>
      </c>
      <c r="G27" s="1">
        <f t="shared" si="2"/>
        <v>3.6483999996562488E-2</v>
      </c>
      <c r="K27" s="1">
        <f>+G27</f>
        <v>3.6483999996562488E-2</v>
      </c>
      <c r="O27" s="1">
        <f t="shared" ca="1" si="3"/>
        <v>3.6177320261042221E-2</v>
      </c>
      <c r="Q27" s="67">
        <f t="shared" si="4"/>
        <v>40587.358699999997</v>
      </c>
    </row>
    <row r="28" spans="1:21" x14ac:dyDescent="0.2">
      <c r="A28" s="33" t="s">
        <v>52</v>
      </c>
      <c r="B28" s="34" t="s">
        <v>48</v>
      </c>
      <c r="C28" s="33">
        <v>55650.385399999999</v>
      </c>
      <c r="D28" s="33">
        <v>2.2000000000000001E-3</v>
      </c>
      <c r="E28" s="1">
        <f t="shared" si="0"/>
        <v>9957.5889898241639</v>
      </c>
      <c r="F28" s="1">
        <f t="shared" si="1"/>
        <v>9957.5</v>
      </c>
      <c r="G28" s="1">
        <f t="shared" si="2"/>
        <v>3.6520000001473818E-2</v>
      </c>
      <c r="J28" s="1">
        <f>+G28</f>
        <v>3.6520000001473818E-2</v>
      </c>
      <c r="O28" s="1">
        <f t="shared" ca="1" si="3"/>
        <v>3.6635631332661046E-2</v>
      </c>
      <c r="Q28" s="67">
        <f t="shared" si="4"/>
        <v>40631.885399999999</v>
      </c>
    </row>
    <row r="29" spans="1:21" x14ac:dyDescent="0.2">
      <c r="A29" s="35" t="s">
        <v>53</v>
      </c>
      <c r="B29" s="36" t="s">
        <v>48</v>
      </c>
      <c r="C29" s="37">
        <v>55654.488230000003</v>
      </c>
      <c r="D29" s="37">
        <v>1E-4</v>
      </c>
      <c r="E29" s="1">
        <f t="shared" si="0"/>
        <v>9967.5865287145771</v>
      </c>
      <c r="F29" s="1">
        <f t="shared" si="1"/>
        <v>9967.5</v>
      </c>
      <c r="G29" s="1">
        <f t="shared" si="2"/>
        <v>3.5510000001522712E-2</v>
      </c>
      <c r="K29" s="1">
        <f>+G29</f>
        <v>3.5510000001522712E-2</v>
      </c>
      <c r="O29" s="1">
        <f t="shared" ca="1" si="3"/>
        <v>3.6677871984423148E-2</v>
      </c>
      <c r="Q29" s="67">
        <f t="shared" si="4"/>
        <v>40635.988230000003</v>
      </c>
    </row>
    <row r="30" spans="1:21" x14ac:dyDescent="0.2">
      <c r="A30" s="33" t="s">
        <v>51</v>
      </c>
      <c r="B30" s="34" t="s">
        <v>46</v>
      </c>
      <c r="C30" s="33">
        <v>55674.805</v>
      </c>
      <c r="D30" s="33">
        <v>8.9999999999999998E-4</v>
      </c>
      <c r="E30" s="1">
        <f t="shared" si="0"/>
        <v>10017.093258996454</v>
      </c>
      <c r="F30" s="1">
        <f t="shared" si="1"/>
        <v>10017</v>
      </c>
      <c r="G30" s="1">
        <f t="shared" si="2"/>
        <v>3.8271999997959938E-2</v>
      </c>
      <c r="K30" s="1">
        <f>+G30</f>
        <v>3.8271999997959938E-2</v>
      </c>
      <c r="O30" s="1">
        <f t="shared" ca="1" si="3"/>
        <v>3.6886963210645558E-2</v>
      </c>
      <c r="Q30" s="67">
        <f t="shared" si="4"/>
        <v>40656.305</v>
      </c>
    </row>
    <row r="31" spans="1:21" x14ac:dyDescent="0.2">
      <c r="A31" s="38" t="s">
        <v>54</v>
      </c>
      <c r="B31" s="39"/>
      <c r="C31" s="37">
        <v>55938.885199999997</v>
      </c>
      <c r="D31" s="37">
        <v>1E-3</v>
      </c>
      <c r="E31" s="1">
        <f t="shared" si="0"/>
        <v>10660.588619439348</v>
      </c>
      <c r="F31" s="1">
        <f t="shared" si="1"/>
        <v>10660.5</v>
      </c>
      <c r="G31" s="1">
        <f t="shared" si="2"/>
        <v>3.6367999993672129E-2</v>
      </c>
      <c r="K31" s="1">
        <f>+G31</f>
        <v>3.6367999993672129E-2</v>
      </c>
      <c r="O31" s="1">
        <f t="shared" ca="1" si="3"/>
        <v>3.9605149151536914E-2</v>
      </c>
      <c r="Q31" s="67">
        <f t="shared" si="4"/>
        <v>40920.385199999997</v>
      </c>
    </row>
    <row r="32" spans="1:21" x14ac:dyDescent="0.2">
      <c r="A32" s="37" t="s">
        <v>55</v>
      </c>
      <c r="B32" s="36" t="s">
        <v>46</v>
      </c>
      <c r="C32" s="37">
        <v>55971.918100000003</v>
      </c>
      <c r="D32" s="37">
        <v>1.9E-3</v>
      </c>
      <c r="E32" s="1">
        <f t="shared" si="0"/>
        <v>10741.081279971935</v>
      </c>
      <c r="F32" s="1">
        <f t="shared" si="1"/>
        <v>10741</v>
      </c>
      <c r="G32" s="1">
        <f t="shared" si="2"/>
        <v>3.3355999999912456E-2</v>
      </c>
      <c r="K32" s="1">
        <f>+G32</f>
        <v>3.3355999999912456E-2</v>
      </c>
      <c r="O32" s="1">
        <f t="shared" ca="1" si="3"/>
        <v>3.9945186398221852E-2</v>
      </c>
      <c r="Q32" s="67">
        <f t="shared" si="4"/>
        <v>40953.418100000003</v>
      </c>
    </row>
    <row r="33" spans="1:17" x14ac:dyDescent="0.2">
      <c r="A33" s="40" t="s">
        <v>56</v>
      </c>
      <c r="B33" s="41" t="s">
        <v>46</v>
      </c>
      <c r="C33" s="42">
        <v>55983.413999999997</v>
      </c>
      <c r="D33" s="8"/>
      <c r="E33" s="1">
        <f t="shared" si="0"/>
        <v>10769.093824320629</v>
      </c>
      <c r="F33" s="1">
        <f t="shared" si="1"/>
        <v>10769</v>
      </c>
      <c r="G33" s="1">
        <f t="shared" si="2"/>
        <v>3.85039999964647E-2</v>
      </c>
      <c r="K33" s="1">
        <f>+G33</f>
        <v>3.85039999964647E-2</v>
      </c>
      <c r="O33" s="1">
        <f t="shared" ca="1" si="3"/>
        <v>4.0063460223155739E-2</v>
      </c>
      <c r="Q33" s="67">
        <f t="shared" si="4"/>
        <v>40964.913999999997</v>
      </c>
    </row>
    <row r="34" spans="1:17" x14ac:dyDescent="0.2">
      <c r="A34" s="37" t="s">
        <v>57</v>
      </c>
      <c r="B34" s="36" t="s">
        <v>46</v>
      </c>
      <c r="C34" s="37">
        <v>56008.448600000003</v>
      </c>
      <c r="D34" s="37">
        <v>2.0000000000000001E-4</v>
      </c>
      <c r="E34" s="1">
        <f t="shared" si="0"/>
        <v>10830.096689929442</v>
      </c>
      <c r="F34" s="1">
        <f t="shared" si="1"/>
        <v>10830</v>
      </c>
      <c r="G34" s="1">
        <f t="shared" si="2"/>
        <v>3.9680000001681037E-2</v>
      </c>
      <c r="J34" s="1">
        <f>+G34</f>
        <v>3.9680000001681037E-2</v>
      </c>
      <c r="O34" s="1">
        <f t="shared" ca="1" si="3"/>
        <v>4.0321128198904571E-2</v>
      </c>
      <c r="Q34" s="67">
        <f t="shared" si="4"/>
        <v>40989.948600000003</v>
      </c>
    </row>
    <row r="35" spans="1:17" x14ac:dyDescent="0.2">
      <c r="A35" s="37" t="s">
        <v>57</v>
      </c>
      <c r="B35" s="36" t="s">
        <v>46</v>
      </c>
      <c r="C35" s="37">
        <v>56008.652300000002</v>
      </c>
      <c r="D35" s="37">
        <v>2.9999999999999997E-4</v>
      </c>
      <c r="E35" s="1">
        <f t="shared" si="0"/>
        <v>10830.593054310115</v>
      </c>
      <c r="F35" s="1">
        <f t="shared" si="1"/>
        <v>10830.5</v>
      </c>
      <c r="G35" s="1">
        <f t="shared" si="2"/>
        <v>3.8188000005902722E-2</v>
      </c>
      <c r="J35" s="1">
        <f>+G35</f>
        <v>3.8188000005902722E-2</v>
      </c>
      <c r="O35" s="1">
        <f t="shared" ca="1" si="3"/>
        <v>4.0323240231492676E-2</v>
      </c>
      <c r="Q35" s="67">
        <f t="shared" si="4"/>
        <v>40990.152300000002</v>
      </c>
    </row>
    <row r="36" spans="1:17" x14ac:dyDescent="0.2">
      <c r="A36" s="35" t="s">
        <v>58</v>
      </c>
      <c r="B36" s="36" t="s">
        <v>48</v>
      </c>
      <c r="C36" s="37">
        <v>56009.474900000001</v>
      </c>
      <c r="D36" s="37">
        <v>2.8999999999999998E-3</v>
      </c>
      <c r="E36" s="1">
        <f t="shared" si="0"/>
        <v>10832.597518421775</v>
      </c>
      <c r="F36" s="1">
        <f t="shared" si="1"/>
        <v>10832.5</v>
      </c>
      <c r="G36" s="1">
        <f t="shared" si="2"/>
        <v>4.0020000000367872E-2</v>
      </c>
      <c r="J36" s="1">
        <f>+G36</f>
        <v>4.0020000000367872E-2</v>
      </c>
      <c r="O36" s="1">
        <f t="shared" ca="1" si="3"/>
        <v>4.0331688361845093E-2</v>
      </c>
      <c r="Q36" s="67">
        <f t="shared" si="4"/>
        <v>40990.974900000001</v>
      </c>
    </row>
    <row r="37" spans="1:17" x14ac:dyDescent="0.2">
      <c r="A37" s="37" t="s">
        <v>55</v>
      </c>
      <c r="B37" s="36" t="s">
        <v>46</v>
      </c>
      <c r="C37" s="37">
        <v>56034.709900000002</v>
      </c>
      <c r="D37" s="37">
        <v>4.0000000000000002E-4</v>
      </c>
      <c r="E37" s="1">
        <f t="shared" si="0"/>
        <v>10894.088707162078</v>
      </c>
      <c r="F37" s="1">
        <f t="shared" si="1"/>
        <v>10894</v>
      </c>
      <c r="G37" s="1">
        <f t="shared" si="2"/>
        <v>3.6403999998583458E-2</v>
      </c>
      <c r="K37" s="1">
        <f>+G37</f>
        <v>3.6403999998583458E-2</v>
      </c>
      <c r="O37" s="1">
        <f t="shared" ca="1" si="3"/>
        <v>4.0591468370182029E-2</v>
      </c>
      <c r="Q37" s="67">
        <f t="shared" si="4"/>
        <v>41016.209900000002</v>
      </c>
    </row>
    <row r="38" spans="1:17" x14ac:dyDescent="0.2">
      <c r="A38" s="43" t="s">
        <v>59</v>
      </c>
      <c r="B38" s="44" t="s">
        <v>46</v>
      </c>
      <c r="C38" s="37">
        <v>56408.375</v>
      </c>
      <c r="D38" s="45">
        <v>5.0000000000000001E-4</v>
      </c>
      <c r="E38" s="1">
        <f t="shared" si="0"/>
        <v>11804.614214979143</v>
      </c>
      <c r="F38" s="1">
        <f t="shared" si="1"/>
        <v>11804.5</v>
      </c>
      <c r="G38" s="1">
        <f t="shared" si="2"/>
        <v>4.6871999998984393E-2</v>
      </c>
      <c r="J38" s="1">
        <f>+G38</f>
        <v>4.6871999998984393E-2</v>
      </c>
      <c r="O38" s="1">
        <f t="shared" ca="1" si="3"/>
        <v>4.4437479713121543E-2</v>
      </c>
      <c r="Q38" s="67">
        <f t="shared" si="4"/>
        <v>41389.875</v>
      </c>
    </row>
    <row r="39" spans="1:17" x14ac:dyDescent="0.2">
      <c r="A39" s="43" t="s">
        <v>59</v>
      </c>
      <c r="B39" s="44" t="s">
        <v>46</v>
      </c>
      <c r="C39" s="37">
        <v>56408.576300000001</v>
      </c>
      <c r="D39" s="45">
        <v>2.0000000000000001E-4</v>
      </c>
      <c r="E39" s="1">
        <f t="shared" si="0"/>
        <v>11805.104731178606</v>
      </c>
      <c r="F39" s="1">
        <f t="shared" si="1"/>
        <v>11805</v>
      </c>
      <c r="G39" s="1">
        <f t="shared" si="2"/>
        <v>4.2979999998351559E-2</v>
      </c>
      <c r="J39" s="1">
        <f>+G39</f>
        <v>4.2979999998351559E-2</v>
      </c>
      <c r="O39" s="1">
        <f t="shared" ca="1" si="3"/>
        <v>4.4439591745709654E-2</v>
      </c>
      <c r="Q39" s="67">
        <f t="shared" si="4"/>
        <v>41390.076300000001</v>
      </c>
    </row>
    <row r="40" spans="1:17" x14ac:dyDescent="0.2">
      <c r="A40" s="46" t="s">
        <v>60</v>
      </c>
      <c r="B40" s="47" t="s">
        <v>48</v>
      </c>
      <c r="C40" s="48">
        <v>57125.31882</v>
      </c>
      <c r="D40" s="48">
        <v>1E-4</v>
      </c>
      <c r="E40" s="39">
        <f t="shared" si="0"/>
        <v>13551.621456976882</v>
      </c>
      <c r="F40" s="1">
        <f t="shared" si="1"/>
        <v>13551.5</v>
      </c>
      <c r="G40" s="1">
        <f t="shared" si="2"/>
        <v>4.9844000001030508E-2</v>
      </c>
      <c r="K40" s="1">
        <f>+G40</f>
        <v>4.9844000001030508E-2</v>
      </c>
      <c r="O40" s="1">
        <f t="shared" ca="1" si="3"/>
        <v>5.181692157596101E-2</v>
      </c>
      <c r="Q40" s="67">
        <f t="shared" si="4"/>
        <v>42106.81882</v>
      </c>
    </row>
    <row r="41" spans="1:17" x14ac:dyDescent="0.2">
      <c r="A41" s="46" t="s">
        <v>60</v>
      </c>
      <c r="B41" s="47" t="s">
        <v>46</v>
      </c>
      <c r="C41" s="48">
        <v>57414.439590000002</v>
      </c>
      <c r="D41" s="48">
        <v>2.0000000000000001E-4</v>
      </c>
      <c r="E41" s="39">
        <f t="shared" si="0"/>
        <v>14256.134230379357</v>
      </c>
      <c r="F41" s="1">
        <f t="shared" si="1"/>
        <v>14256</v>
      </c>
      <c r="G41" s="1">
        <f t="shared" si="2"/>
        <v>5.5086000000301283E-2</v>
      </c>
      <c r="K41" s="1">
        <f>+G41</f>
        <v>5.5086000000301283E-2</v>
      </c>
      <c r="O41" s="1">
        <f t="shared" ca="1" si="3"/>
        <v>5.4792775492601198E-2</v>
      </c>
      <c r="Q41" s="67">
        <f t="shared" si="4"/>
        <v>42395.939590000002</v>
      </c>
    </row>
    <row r="42" spans="1:17" x14ac:dyDescent="0.2">
      <c r="A42" s="49" t="s">
        <v>61</v>
      </c>
      <c r="B42" s="50" t="s">
        <v>48</v>
      </c>
      <c r="C42" s="51">
        <v>57753.623099999997</v>
      </c>
      <c r="D42" s="51">
        <v>2.0000000000000001E-4</v>
      </c>
      <c r="E42" s="39">
        <f>+(C42-C$7)/C$8</f>
        <v>15082.63699364497</v>
      </c>
      <c r="F42" s="1">
        <f t="shared" si="1"/>
        <v>15082.5</v>
      </c>
      <c r="G42" s="1">
        <f>+C42-(C$7+F42*C$8)</f>
        <v>5.6219999998575076E-2</v>
      </c>
      <c r="K42" s="1">
        <f>+G42</f>
        <v>5.6219999998575076E-2</v>
      </c>
      <c r="O42" s="1">
        <f ca="1">+C$11+C$12*$F42</f>
        <v>5.8283965360739043E-2</v>
      </c>
      <c r="Q42" s="67">
        <f>+C42-15018.5</f>
        <v>42735.123099999997</v>
      </c>
    </row>
    <row r="43" spans="1:17" x14ac:dyDescent="0.2">
      <c r="A43" s="52" t="s">
        <v>62</v>
      </c>
      <c r="B43" s="53" t="s">
        <v>48</v>
      </c>
      <c r="C43" s="54">
        <v>57864.428129999898</v>
      </c>
      <c r="D43" s="54">
        <v>8.9999999999999998E-4</v>
      </c>
      <c r="E43" s="39">
        <f>+(C43-C$7)/C$8</f>
        <v>15352.640283246663</v>
      </c>
      <c r="F43" s="1">
        <f>ROUND(2*E43,0)/2</f>
        <v>15352.5</v>
      </c>
      <c r="G43" s="1">
        <f>+C43-(C$7+F43*C$8)</f>
        <v>5.7569999902625568E-2</v>
      </c>
      <c r="K43" s="1">
        <f>+G43</f>
        <v>5.7569999902625568E-2</v>
      </c>
      <c r="O43" s="1">
        <f ca="1">+C$11+C$12*$F43</f>
        <v>5.9424462958315841E-2</v>
      </c>
      <c r="Q43" s="67">
        <f>+C43-15018.5</f>
        <v>42845.928129999898</v>
      </c>
    </row>
    <row r="44" spans="1:17" x14ac:dyDescent="0.2">
      <c r="A44" s="68" t="s">
        <v>162</v>
      </c>
      <c r="B44" s="69" t="s">
        <v>48</v>
      </c>
      <c r="C44" s="70">
        <v>59922.324599999934</v>
      </c>
      <c r="E44" s="39">
        <f t="shared" ref="E44:E47" si="5">+(C44-C$7)/C$8</f>
        <v>20367.203399742521</v>
      </c>
      <c r="F44" s="1">
        <f t="shared" ref="F44:F47" si="6">ROUND(2*E44,0)/2</f>
        <v>20367</v>
      </c>
      <c r="G44" s="1">
        <f t="shared" ref="G44:G47" si="7">+C44-(C$7+F44*C$8)</f>
        <v>8.3471999932953622E-2</v>
      </c>
      <c r="K44" s="1">
        <f t="shared" ref="K44:K47" si="8">+G44</f>
        <v>8.3471999932953622E-2</v>
      </c>
      <c r="O44" s="1">
        <f t="shared" ref="O44:O47" ca="1" si="9">+C$11+C$12*$F44</f>
        <v>8.0606037784422588E-2</v>
      </c>
      <c r="Q44" s="67">
        <f t="shared" ref="Q44:Q47" si="10">+C44-15018.5</f>
        <v>44903.824599999934</v>
      </c>
    </row>
    <row r="45" spans="1:17" x14ac:dyDescent="0.2">
      <c r="A45" s="68" t="s">
        <v>162</v>
      </c>
      <c r="B45" s="69" t="s">
        <v>48</v>
      </c>
      <c r="C45" s="70">
        <v>59922.32489999989</v>
      </c>
      <c r="E45" s="39">
        <f t="shared" si="5"/>
        <v>20367.204130765065</v>
      </c>
      <c r="F45" s="1">
        <f t="shared" si="6"/>
        <v>20367</v>
      </c>
      <c r="G45" s="1">
        <f t="shared" si="7"/>
        <v>8.3771999888995197E-2</v>
      </c>
      <c r="K45" s="1">
        <f t="shared" si="8"/>
        <v>8.3771999888995197E-2</v>
      </c>
      <c r="O45" s="1">
        <f t="shared" ca="1" si="9"/>
        <v>8.0606037784422588E-2</v>
      </c>
      <c r="Q45" s="67">
        <f t="shared" si="10"/>
        <v>44903.82489999989</v>
      </c>
    </row>
    <row r="46" spans="1:17" x14ac:dyDescent="0.2">
      <c r="A46" s="68" t="s">
        <v>162</v>
      </c>
      <c r="B46" s="69" t="s">
        <v>46</v>
      </c>
      <c r="C46" s="70">
        <v>59923.347899999935</v>
      </c>
      <c r="E46" s="39">
        <f t="shared" si="5"/>
        <v>20369.696918008343</v>
      </c>
      <c r="F46" s="1">
        <f t="shared" si="6"/>
        <v>20369.5</v>
      </c>
      <c r="G46" s="1">
        <f t="shared" si="7"/>
        <v>8.0811999934667256E-2</v>
      </c>
      <c r="K46" s="1">
        <f t="shared" si="8"/>
        <v>8.0811999934667256E-2</v>
      </c>
      <c r="O46" s="1">
        <f t="shared" ca="1" si="9"/>
        <v>8.0616597947363117E-2</v>
      </c>
      <c r="Q46" s="67">
        <f t="shared" si="10"/>
        <v>44904.847899999935</v>
      </c>
    </row>
    <row r="47" spans="1:17" x14ac:dyDescent="0.2">
      <c r="A47" s="68" t="s">
        <v>162</v>
      </c>
      <c r="B47" s="69" t="s">
        <v>46</v>
      </c>
      <c r="C47" s="70">
        <v>59923.348000000231</v>
      </c>
      <c r="E47" s="39">
        <f t="shared" si="5"/>
        <v>20369.697161683282</v>
      </c>
      <c r="F47" s="1">
        <f t="shared" si="6"/>
        <v>20369.5</v>
      </c>
      <c r="G47" s="1">
        <f t="shared" si="7"/>
        <v>8.0912000230455305E-2</v>
      </c>
      <c r="K47" s="1">
        <f t="shared" si="8"/>
        <v>8.0912000230455305E-2</v>
      </c>
      <c r="O47" s="1">
        <f t="shared" ca="1" si="9"/>
        <v>8.0616597947363117E-2</v>
      </c>
      <c r="Q47" s="67">
        <f t="shared" si="10"/>
        <v>44904.848000000231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5" workbookViewId="0">
      <selection activeCell="A27" sqref="A27"/>
    </sheetView>
  </sheetViews>
  <sheetFormatPr defaultRowHeight="12.75" x14ac:dyDescent="0.2"/>
  <cols>
    <col min="1" max="1" width="19.7109375" style="8" customWidth="1"/>
    <col min="2" max="2" width="4.42578125" customWidth="1"/>
    <col min="3" max="3" width="12.7109375" style="8" customWidth="1"/>
    <col min="4" max="4" width="5.42578125" customWidth="1"/>
    <col min="5" max="5" width="14.85546875" customWidth="1"/>
    <col min="7" max="7" width="12" customWidth="1"/>
    <col min="8" max="8" width="14.140625" style="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5" t="s">
        <v>63</v>
      </c>
      <c r="I1" s="56" t="s">
        <v>64</v>
      </c>
      <c r="J1" s="57" t="s">
        <v>37</v>
      </c>
    </row>
    <row r="2" spans="1:16" x14ac:dyDescent="0.2">
      <c r="I2" s="58" t="s">
        <v>65</v>
      </c>
      <c r="J2" s="59" t="s">
        <v>36</v>
      </c>
    </row>
    <row r="3" spans="1:16" x14ac:dyDescent="0.2">
      <c r="A3" s="60" t="s">
        <v>66</v>
      </c>
      <c r="I3" s="58" t="s">
        <v>67</v>
      </c>
      <c r="J3" s="59" t="s">
        <v>34</v>
      </c>
    </row>
    <row r="4" spans="1:16" x14ac:dyDescent="0.2">
      <c r="I4" s="58" t="s">
        <v>68</v>
      </c>
      <c r="J4" s="59" t="s">
        <v>34</v>
      </c>
    </row>
    <row r="5" spans="1:16" x14ac:dyDescent="0.2">
      <c r="I5" s="61" t="s">
        <v>69</v>
      </c>
      <c r="J5" s="62" t="s">
        <v>35</v>
      </c>
    </row>
    <row r="11" spans="1:16" ht="12.75" customHeight="1" x14ac:dyDescent="0.2">
      <c r="A11" s="8" t="str">
        <f t="shared" ref="A11:A28" si="0">P11</f>
        <v>IBVS 5894 </v>
      </c>
      <c r="B11" s="22" t="str">
        <f t="shared" ref="B11:B28" si="1">IF(H11=INT(H11),"I","II")</f>
        <v>I</v>
      </c>
      <c r="C11" s="8">
        <f t="shared" ref="C11:C28" si="2">1*G11</f>
        <v>54865.931700000001</v>
      </c>
      <c r="D11" t="str">
        <f t="shared" ref="D11:D28" si="3">VLOOKUP(F11,I$1:J$5,2,FALSE)</f>
        <v>vis</v>
      </c>
      <c r="E11">
        <f>VLOOKUP(C11,Active!C$21:E$972,3,FALSE)</f>
        <v>8046.0775761238292</v>
      </c>
      <c r="F11" s="22" t="s">
        <v>69</v>
      </c>
      <c r="G11" t="str">
        <f t="shared" ref="G11:G28" si="4">MID(I11,3,LEN(I11)-3)</f>
        <v>54865.9317</v>
      </c>
      <c r="H11" s="8">
        <f t="shared" ref="H11:H28" si="5">1*K11</f>
        <v>8046</v>
      </c>
      <c r="I11" s="63" t="s">
        <v>70</v>
      </c>
      <c r="J11" s="64" t="s">
        <v>71</v>
      </c>
      <c r="K11" s="63">
        <v>8046</v>
      </c>
      <c r="L11" s="63" t="s">
        <v>72</v>
      </c>
      <c r="M11" s="64" t="s">
        <v>73</v>
      </c>
      <c r="N11" s="64" t="s">
        <v>69</v>
      </c>
      <c r="O11" s="65" t="s">
        <v>74</v>
      </c>
      <c r="P11" s="66" t="s">
        <v>75</v>
      </c>
    </row>
    <row r="12" spans="1:16" ht="12.75" customHeight="1" x14ac:dyDescent="0.2">
      <c r="A12" s="8" t="str">
        <f t="shared" si="0"/>
        <v>BAVM 214 </v>
      </c>
      <c r="B12" s="22" t="str">
        <f t="shared" si="1"/>
        <v>II</v>
      </c>
      <c r="C12" s="8">
        <f t="shared" si="2"/>
        <v>54922.360399999998</v>
      </c>
      <c r="D12" t="str">
        <f t="shared" si="3"/>
        <v>vis</v>
      </c>
      <c r="E12">
        <f>VLOOKUP(C12,Active!C$21:E$972,3,FALSE)</f>
        <v>8183.5797691917769</v>
      </c>
      <c r="F12" s="22" t="s">
        <v>69</v>
      </c>
      <c r="G12" t="str">
        <f t="shared" si="4"/>
        <v>54922.3604</v>
      </c>
      <c r="H12" s="8">
        <f t="shared" si="5"/>
        <v>8183.5</v>
      </c>
      <c r="I12" s="63" t="s">
        <v>76</v>
      </c>
      <c r="J12" s="64" t="s">
        <v>77</v>
      </c>
      <c r="K12" s="63">
        <v>8183.5</v>
      </c>
      <c r="L12" s="63" t="s">
        <v>78</v>
      </c>
      <c r="M12" s="64" t="s">
        <v>73</v>
      </c>
      <c r="N12" s="64" t="s">
        <v>79</v>
      </c>
      <c r="O12" s="65" t="s">
        <v>80</v>
      </c>
      <c r="P12" s="66" t="s">
        <v>81</v>
      </c>
    </row>
    <row r="13" spans="1:16" ht="12.75" customHeight="1" x14ac:dyDescent="0.2">
      <c r="A13" s="8" t="str">
        <f t="shared" si="0"/>
        <v>BAVM 209 </v>
      </c>
      <c r="B13" s="22" t="str">
        <f t="shared" si="1"/>
        <v>I</v>
      </c>
      <c r="C13" s="8">
        <f t="shared" si="2"/>
        <v>54932.415000000001</v>
      </c>
      <c r="D13" t="str">
        <f t="shared" si="3"/>
        <v>vis</v>
      </c>
      <c r="E13">
        <f>VLOOKUP(C13,Active!C$21:E$972,3,FALSE)</f>
        <v>8208.0802370462825</v>
      </c>
      <c r="F13" s="22" t="s">
        <v>69</v>
      </c>
      <c r="G13" t="str">
        <f t="shared" si="4"/>
        <v>54932.4150</v>
      </c>
      <c r="H13" s="8">
        <f t="shared" si="5"/>
        <v>8208</v>
      </c>
      <c r="I13" s="63" t="s">
        <v>82</v>
      </c>
      <c r="J13" s="64" t="s">
        <v>83</v>
      </c>
      <c r="K13" s="63" t="s">
        <v>84</v>
      </c>
      <c r="L13" s="63" t="s">
        <v>85</v>
      </c>
      <c r="M13" s="64" t="s">
        <v>73</v>
      </c>
      <c r="N13" s="64" t="s">
        <v>86</v>
      </c>
      <c r="O13" s="65" t="s">
        <v>87</v>
      </c>
      <c r="P13" s="66" t="s">
        <v>88</v>
      </c>
    </row>
    <row r="14" spans="1:16" ht="12.75" customHeight="1" x14ac:dyDescent="0.2">
      <c r="A14" s="8" t="str">
        <f t="shared" si="0"/>
        <v>BAVM 209 </v>
      </c>
      <c r="B14" s="22" t="str">
        <f t="shared" si="1"/>
        <v>II</v>
      </c>
      <c r="C14" s="8">
        <f t="shared" si="2"/>
        <v>54932.620699999999</v>
      </c>
      <c r="D14" t="str">
        <f t="shared" si="3"/>
        <v>vis</v>
      </c>
      <c r="E14">
        <f>VLOOKUP(C14,Active!C$21:E$972,3,FALSE)</f>
        <v>8208.5814749113033</v>
      </c>
      <c r="F14" s="22" t="s">
        <v>69</v>
      </c>
      <c r="G14" t="str">
        <f t="shared" si="4"/>
        <v>54932.6207</v>
      </c>
      <c r="H14" s="8">
        <f t="shared" si="5"/>
        <v>8208.5</v>
      </c>
      <c r="I14" s="63" t="s">
        <v>89</v>
      </c>
      <c r="J14" s="64" t="s">
        <v>90</v>
      </c>
      <c r="K14" s="63" t="s">
        <v>91</v>
      </c>
      <c r="L14" s="63" t="s">
        <v>92</v>
      </c>
      <c r="M14" s="64" t="s">
        <v>73</v>
      </c>
      <c r="N14" s="64" t="s">
        <v>86</v>
      </c>
      <c r="O14" s="65" t="s">
        <v>87</v>
      </c>
      <c r="P14" s="66" t="s">
        <v>88</v>
      </c>
    </row>
    <row r="15" spans="1:16" ht="12.75" customHeight="1" x14ac:dyDescent="0.2">
      <c r="A15" s="8" t="str">
        <f t="shared" si="0"/>
        <v>IBVS 5945 </v>
      </c>
      <c r="B15" s="22" t="str">
        <f t="shared" si="1"/>
        <v>II</v>
      </c>
      <c r="C15" s="8">
        <f t="shared" si="2"/>
        <v>55243.6924</v>
      </c>
      <c r="D15" t="str">
        <f t="shared" si="3"/>
        <v>vis</v>
      </c>
      <c r="E15">
        <f>VLOOKUP(C15,Active!C$21:E$972,3,FALSE)</f>
        <v>8966.5830051853882</v>
      </c>
      <c r="F15" s="22" t="s">
        <v>69</v>
      </c>
      <c r="G15" t="str">
        <f t="shared" si="4"/>
        <v>55243.6924</v>
      </c>
      <c r="H15" s="8">
        <f t="shared" si="5"/>
        <v>8966.5</v>
      </c>
      <c r="I15" s="63" t="s">
        <v>93</v>
      </c>
      <c r="J15" s="64" t="s">
        <v>94</v>
      </c>
      <c r="K15" s="63" t="s">
        <v>95</v>
      </c>
      <c r="L15" s="63" t="s">
        <v>96</v>
      </c>
      <c r="M15" s="64" t="s">
        <v>73</v>
      </c>
      <c r="N15" s="64" t="s">
        <v>69</v>
      </c>
      <c r="O15" s="65" t="s">
        <v>74</v>
      </c>
      <c r="P15" s="66" t="s">
        <v>97</v>
      </c>
    </row>
    <row r="16" spans="1:16" ht="12.75" customHeight="1" x14ac:dyDescent="0.2">
      <c r="A16" s="8" t="str">
        <f t="shared" si="0"/>
        <v>IBVS 5992 </v>
      </c>
      <c r="B16" s="22" t="str">
        <f t="shared" si="1"/>
        <v>I</v>
      </c>
      <c r="C16" s="8">
        <f t="shared" si="2"/>
        <v>55605.858699999997</v>
      </c>
      <c r="D16" t="str">
        <f t="shared" si="3"/>
        <v>vis</v>
      </c>
      <c r="E16">
        <f>VLOOKUP(C16,Active!C$21:E$972,3,FALSE)</f>
        <v>9849.0889021014409</v>
      </c>
      <c r="F16" s="22" t="s">
        <v>69</v>
      </c>
      <c r="G16" t="str">
        <f t="shared" si="4"/>
        <v>55605.8587</v>
      </c>
      <c r="H16" s="8">
        <f t="shared" si="5"/>
        <v>9849</v>
      </c>
      <c r="I16" s="63" t="s">
        <v>98</v>
      </c>
      <c r="J16" s="64" t="s">
        <v>99</v>
      </c>
      <c r="K16" s="63" t="s">
        <v>100</v>
      </c>
      <c r="L16" s="63" t="s">
        <v>101</v>
      </c>
      <c r="M16" s="64" t="s">
        <v>73</v>
      </c>
      <c r="N16" s="64" t="s">
        <v>69</v>
      </c>
      <c r="O16" s="65" t="s">
        <v>74</v>
      </c>
      <c r="P16" s="66" t="s">
        <v>102</v>
      </c>
    </row>
    <row r="17" spans="1:16" ht="12.75" customHeight="1" x14ac:dyDescent="0.2">
      <c r="A17" s="8" t="str">
        <f t="shared" si="0"/>
        <v>BAVM 220 </v>
      </c>
      <c r="B17" s="22" t="str">
        <f t="shared" si="1"/>
        <v>II</v>
      </c>
      <c r="C17" s="8">
        <f t="shared" si="2"/>
        <v>55650.385399999999</v>
      </c>
      <c r="D17" t="str">
        <f t="shared" si="3"/>
        <v>vis</v>
      </c>
      <c r="E17">
        <f>VLOOKUP(C17,Active!C$21:E$972,3,FALSE)</f>
        <v>9957.5889898241639</v>
      </c>
      <c r="F17" s="22" t="s">
        <v>69</v>
      </c>
      <c r="G17" t="str">
        <f t="shared" si="4"/>
        <v>55650.3854</v>
      </c>
      <c r="H17" s="8">
        <f t="shared" si="5"/>
        <v>9957.5</v>
      </c>
      <c r="I17" s="63" t="s">
        <v>103</v>
      </c>
      <c r="J17" s="64" t="s">
        <v>104</v>
      </c>
      <c r="K17" s="63" t="s">
        <v>105</v>
      </c>
      <c r="L17" s="63" t="s">
        <v>101</v>
      </c>
      <c r="M17" s="64" t="s">
        <v>73</v>
      </c>
      <c r="N17" s="64" t="s">
        <v>69</v>
      </c>
      <c r="O17" s="65" t="s">
        <v>87</v>
      </c>
      <c r="P17" s="66" t="s">
        <v>106</v>
      </c>
    </row>
    <row r="18" spans="1:16" ht="12.75" customHeight="1" x14ac:dyDescent="0.2">
      <c r="A18" s="8" t="str">
        <f t="shared" si="0"/>
        <v>OEJV 0160 </v>
      </c>
      <c r="B18" s="22" t="str">
        <f t="shared" si="1"/>
        <v>II</v>
      </c>
      <c r="C18" s="8">
        <f t="shared" si="2"/>
        <v>55654.488230000003</v>
      </c>
      <c r="D18" t="str">
        <f t="shared" si="3"/>
        <v>vis</v>
      </c>
      <c r="E18">
        <f>VLOOKUP(C18,Active!C$21:E$972,3,FALSE)</f>
        <v>9967.5865287145771</v>
      </c>
      <c r="F18" s="22" t="s">
        <v>69</v>
      </c>
      <c r="G18" t="str">
        <f t="shared" si="4"/>
        <v>55654.48823</v>
      </c>
      <c r="H18" s="8">
        <f t="shared" si="5"/>
        <v>9967.5</v>
      </c>
      <c r="I18" s="63" t="s">
        <v>107</v>
      </c>
      <c r="J18" s="64" t="s">
        <v>108</v>
      </c>
      <c r="K18" s="63" t="s">
        <v>109</v>
      </c>
      <c r="L18" s="63" t="s">
        <v>110</v>
      </c>
      <c r="M18" s="64" t="s">
        <v>73</v>
      </c>
      <c r="N18" s="64" t="s">
        <v>64</v>
      </c>
      <c r="O18" s="65" t="s">
        <v>111</v>
      </c>
      <c r="P18" s="66" t="s">
        <v>112</v>
      </c>
    </row>
    <row r="19" spans="1:16" ht="12.75" customHeight="1" x14ac:dyDescent="0.2">
      <c r="A19" s="8" t="str">
        <f t="shared" si="0"/>
        <v>IBVS 5992 </v>
      </c>
      <c r="B19" s="22" t="str">
        <f t="shared" si="1"/>
        <v>I</v>
      </c>
      <c r="C19" s="8">
        <f t="shared" si="2"/>
        <v>55674.805</v>
      </c>
      <c r="D19" t="str">
        <f t="shared" si="3"/>
        <v>vis</v>
      </c>
      <c r="E19">
        <f>VLOOKUP(C19,Active!C$21:E$972,3,FALSE)</f>
        <v>10017.093258996454</v>
      </c>
      <c r="F19" s="22" t="s">
        <v>69</v>
      </c>
      <c r="G19" t="str">
        <f t="shared" si="4"/>
        <v>55674.8050</v>
      </c>
      <c r="H19" s="8">
        <f t="shared" si="5"/>
        <v>10017</v>
      </c>
      <c r="I19" s="63" t="s">
        <v>113</v>
      </c>
      <c r="J19" s="64" t="s">
        <v>114</v>
      </c>
      <c r="K19" s="63" t="s">
        <v>115</v>
      </c>
      <c r="L19" s="63" t="s">
        <v>116</v>
      </c>
      <c r="M19" s="64" t="s">
        <v>73</v>
      </c>
      <c r="N19" s="64" t="s">
        <v>69</v>
      </c>
      <c r="O19" s="65" t="s">
        <v>74</v>
      </c>
      <c r="P19" s="66" t="s">
        <v>102</v>
      </c>
    </row>
    <row r="20" spans="1:16" ht="12.75" customHeight="1" x14ac:dyDescent="0.2">
      <c r="A20" s="8" t="str">
        <f t="shared" si="0"/>
        <v>IBVS 6029 </v>
      </c>
      <c r="B20" s="22" t="str">
        <f t="shared" si="1"/>
        <v>I</v>
      </c>
      <c r="C20" s="8">
        <f t="shared" si="2"/>
        <v>55971.918100000003</v>
      </c>
      <c r="D20" t="str">
        <f t="shared" si="3"/>
        <v>vis</v>
      </c>
      <c r="E20">
        <f>VLOOKUP(C20,Active!C$21:E$972,3,FALSE)</f>
        <v>10741.081279971935</v>
      </c>
      <c r="F20" s="22" t="s">
        <v>69</v>
      </c>
      <c r="G20" t="str">
        <f t="shared" si="4"/>
        <v>55971.9181</v>
      </c>
      <c r="H20" s="8">
        <f t="shared" si="5"/>
        <v>10741</v>
      </c>
      <c r="I20" s="63" t="s">
        <v>117</v>
      </c>
      <c r="J20" s="64" t="s">
        <v>118</v>
      </c>
      <c r="K20" s="63" t="s">
        <v>119</v>
      </c>
      <c r="L20" s="63" t="s">
        <v>92</v>
      </c>
      <c r="M20" s="64" t="s">
        <v>73</v>
      </c>
      <c r="N20" s="64" t="s">
        <v>69</v>
      </c>
      <c r="O20" s="65" t="s">
        <v>74</v>
      </c>
      <c r="P20" s="66" t="s">
        <v>120</v>
      </c>
    </row>
    <row r="21" spans="1:16" ht="12.75" customHeight="1" x14ac:dyDescent="0.2">
      <c r="A21" s="8" t="str">
        <f t="shared" si="0"/>
        <v>BAVM 232 </v>
      </c>
      <c r="B21" s="22" t="str">
        <f t="shared" si="1"/>
        <v>I</v>
      </c>
      <c r="C21" s="8">
        <f t="shared" si="2"/>
        <v>56008.448600000003</v>
      </c>
      <c r="D21" t="str">
        <f t="shared" si="3"/>
        <v>vis</v>
      </c>
      <c r="E21">
        <f>VLOOKUP(C21,Active!C$21:E$972,3,FALSE)</f>
        <v>10830.096689929442</v>
      </c>
      <c r="F21" s="22" t="s">
        <v>69</v>
      </c>
      <c r="G21" t="str">
        <f t="shared" si="4"/>
        <v>56008.4486</v>
      </c>
      <c r="H21" s="8">
        <f t="shared" si="5"/>
        <v>10830</v>
      </c>
      <c r="I21" s="63" t="s">
        <v>121</v>
      </c>
      <c r="J21" s="64" t="s">
        <v>122</v>
      </c>
      <c r="K21" s="63" t="s">
        <v>123</v>
      </c>
      <c r="L21" s="63" t="s">
        <v>124</v>
      </c>
      <c r="M21" s="64" t="s">
        <v>73</v>
      </c>
      <c r="N21" s="64" t="s">
        <v>86</v>
      </c>
      <c r="O21" s="65" t="s">
        <v>125</v>
      </c>
      <c r="P21" s="66" t="s">
        <v>126</v>
      </c>
    </row>
    <row r="22" spans="1:16" ht="12.75" customHeight="1" x14ac:dyDescent="0.2">
      <c r="A22" s="8" t="str">
        <f t="shared" si="0"/>
        <v>BAVM 232 </v>
      </c>
      <c r="B22" s="22" t="str">
        <f t="shared" si="1"/>
        <v>II</v>
      </c>
      <c r="C22" s="8">
        <f t="shared" si="2"/>
        <v>56008.652300000002</v>
      </c>
      <c r="D22" t="str">
        <f t="shared" si="3"/>
        <v>vis</v>
      </c>
      <c r="E22">
        <f>VLOOKUP(C22,Active!C$21:E$972,3,FALSE)</f>
        <v>10830.593054310115</v>
      </c>
      <c r="F22" s="22" t="s">
        <v>69</v>
      </c>
      <c r="G22" t="str">
        <f t="shared" si="4"/>
        <v>56008.6523</v>
      </c>
      <c r="H22" s="8">
        <f t="shared" si="5"/>
        <v>10830.5</v>
      </c>
      <c r="I22" s="63" t="s">
        <v>127</v>
      </c>
      <c r="J22" s="64" t="s">
        <v>128</v>
      </c>
      <c r="K22" s="63" t="s">
        <v>129</v>
      </c>
      <c r="L22" s="63" t="s">
        <v>130</v>
      </c>
      <c r="M22" s="64" t="s">
        <v>73</v>
      </c>
      <c r="N22" s="64" t="s">
        <v>86</v>
      </c>
      <c r="O22" s="65" t="s">
        <v>125</v>
      </c>
      <c r="P22" s="66" t="s">
        <v>126</v>
      </c>
    </row>
    <row r="23" spans="1:16" ht="12.75" customHeight="1" x14ac:dyDescent="0.2">
      <c r="A23" s="8" t="str">
        <f t="shared" si="0"/>
        <v>BAVM 228 </v>
      </c>
      <c r="B23" s="22" t="str">
        <f t="shared" si="1"/>
        <v>II</v>
      </c>
      <c r="C23" s="8">
        <f t="shared" si="2"/>
        <v>56009.474900000001</v>
      </c>
      <c r="D23" t="str">
        <f t="shared" si="3"/>
        <v>vis</v>
      </c>
      <c r="E23">
        <f>VLOOKUP(C23,Active!C$21:E$972,3,FALSE)</f>
        <v>10832.597518421775</v>
      </c>
      <c r="F23" s="22" t="s">
        <v>69</v>
      </c>
      <c r="G23" t="str">
        <f t="shared" si="4"/>
        <v>56009.4749</v>
      </c>
      <c r="H23" s="8">
        <f t="shared" si="5"/>
        <v>10832.5</v>
      </c>
      <c r="I23" s="63" t="s">
        <v>131</v>
      </c>
      <c r="J23" s="64" t="s">
        <v>132</v>
      </c>
      <c r="K23" s="63" t="s">
        <v>133</v>
      </c>
      <c r="L23" s="63" t="s">
        <v>134</v>
      </c>
      <c r="M23" s="64" t="s">
        <v>73</v>
      </c>
      <c r="N23" s="64" t="s">
        <v>86</v>
      </c>
      <c r="O23" s="65" t="s">
        <v>87</v>
      </c>
      <c r="P23" s="66" t="s">
        <v>135</v>
      </c>
    </row>
    <row r="24" spans="1:16" ht="12.75" customHeight="1" x14ac:dyDescent="0.2">
      <c r="A24" s="8" t="str">
        <f t="shared" si="0"/>
        <v>IBVS 6029 </v>
      </c>
      <c r="B24" s="22" t="str">
        <f t="shared" si="1"/>
        <v>I</v>
      </c>
      <c r="C24" s="8">
        <f t="shared" si="2"/>
        <v>56034.709900000002</v>
      </c>
      <c r="D24" t="str">
        <f t="shared" si="3"/>
        <v>vis</v>
      </c>
      <c r="E24">
        <f>VLOOKUP(C24,Active!C$21:E$972,3,FALSE)</f>
        <v>10894.088707162078</v>
      </c>
      <c r="F24" s="22" t="s">
        <v>69</v>
      </c>
      <c r="G24" t="str">
        <f t="shared" si="4"/>
        <v>56034.7099</v>
      </c>
      <c r="H24" s="8">
        <f t="shared" si="5"/>
        <v>10894</v>
      </c>
      <c r="I24" s="63" t="s">
        <v>136</v>
      </c>
      <c r="J24" s="64" t="s">
        <v>137</v>
      </c>
      <c r="K24" s="63" t="s">
        <v>138</v>
      </c>
      <c r="L24" s="63" t="s">
        <v>139</v>
      </c>
      <c r="M24" s="64" t="s">
        <v>73</v>
      </c>
      <c r="N24" s="64" t="s">
        <v>69</v>
      </c>
      <c r="O24" s="65" t="s">
        <v>74</v>
      </c>
      <c r="P24" s="66" t="s">
        <v>120</v>
      </c>
    </row>
    <row r="25" spans="1:16" ht="12.75" customHeight="1" x14ac:dyDescent="0.2">
      <c r="A25" s="8" t="str">
        <f t="shared" si="0"/>
        <v>BAVM 234 </v>
      </c>
      <c r="B25" s="22" t="str">
        <f t="shared" si="1"/>
        <v>II</v>
      </c>
      <c r="C25" s="8">
        <f t="shared" si="2"/>
        <v>56408.375</v>
      </c>
      <c r="D25" t="str">
        <f t="shared" si="3"/>
        <v>vis</v>
      </c>
      <c r="E25">
        <f>VLOOKUP(C25,Active!C$21:E$972,3,FALSE)</f>
        <v>11804.614214979143</v>
      </c>
      <c r="F25" s="22" t="s">
        <v>69</v>
      </c>
      <c r="G25" t="str">
        <f t="shared" si="4"/>
        <v>56408.375</v>
      </c>
      <c r="H25" s="8">
        <f t="shared" si="5"/>
        <v>11804.5</v>
      </c>
      <c r="I25" s="63" t="s">
        <v>140</v>
      </c>
      <c r="J25" s="64" t="s">
        <v>141</v>
      </c>
      <c r="K25" s="63" t="s">
        <v>142</v>
      </c>
      <c r="L25" s="63" t="s">
        <v>143</v>
      </c>
      <c r="M25" s="64" t="s">
        <v>73</v>
      </c>
      <c r="N25" s="64" t="s">
        <v>69</v>
      </c>
      <c r="O25" s="65" t="s">
        <v>144</v>
      </c>
      <c r="P25" s="66" t="s">
        <v>145</v>
      </c>
    </row>
    <row r="26" spans="1:16" ht="12.75" customHeight="1" x14ac:dyDescent="0.2">
      <c r="A26" s="8" t="str">
        <f t="shared" si="0"/>
        <v>BAVM 234 </v>
      </c>
      <c r="B26" s="22" t="str">
        <f t="shared" si="1"/>
        <v>I</v>
      </c>
      <c r="C26" s="8">
        <f t="shared" si="2"/>
        <v>56408.576300000001</v>
      </c>
      <c r="D26" t="str">
        <f t="shared" si="3"/>
        <v>vis</v>
      </c>
      <c r="E26">
        <f>VLOOKUP(C26,Active!C$21:E$972,3,FALSE)</f>
        <v>11805.104731178606</v>
      </c>
      <c r="F26" s="22" t="s">
        <v>69</v>
      </c>
      <c r="G26" t="str">
        <f t="shared" si="4"/>
        <v>56408.5763</v>
      </c>
      <c r="H26" s="8">
        <f t="shared" si="5"/>
        <v>11805</v>
      </c>
      <c r="I26" s="63" t="s">
        <v>146</v>
      </c>
      <c r="J26" s="64" t="s">
        <v>147</v>
      </c>
      <c r="K26" s="63" t="s">
        <v>148</v>
      </c>
      <c r="L26" s="63" t="s">
        <v>149</v>
      </c>
      <c r="M26" s="64" t="s">
        <v>73</v>
      </c>
      <c r="N26" s="64" t="s">
        <v>69</v>
      </c>
      <c r="O26" s="65" t="s">
        <v>144</v>
      </c>
      <c r="P26" s="66" t="s">
        <v>145</v>
      </c>
    </row>
    <row r="27" spans="1:16" ht="12.75" customHeight="1" x14ac:dyDescent="0.2">
      <c r="A27" s="8" t="str">
        <f t="shared" si="0"/>
        <v>IBVS 6050 </v>
      </c>
      <c r="B27" s="22" t="str">
        <f t="shared" si="1"/>
        <v>II</v>
      </c>
      <c r="C27" s="8">
        <f t="shared" si="2"/>
        <v>55938.885000000002</v>
      </c>
      <c r="D27" t="str">
        <f t="shared" si="3"/>
        <v>vis</v>
      </c>
      <c r="E27" t="e">
        <f>VLOOKUP(C27,Active!C$21:E$972,3,FALSE)</f>
        <v>#N/A</v>
      </c>
      <c r="F27" s="22" t="s">
        <v>69</v>
      </c>
      <c r="G27" t="str">
        <f t="shared" si="4"/>
        <v>55938.885</v>
      </c>
      <c r="H27" s="8">
        <f t="shared" si="5"/>
        <v>10660.5</v>
      </c>
      <c r="I27" s="63" t="s">
        <v>150</v>
      </c>
      <c r="J27" s="64" t="s">
        <v>151</v>
      </c>
      <c r="K27" s="63" t="s">
        <v>152</v>
      </c>
      <c r="L27" s="63" t="s">
        <v>153</v>
      </c>
      <c r="M27" s="64" t="s">
        <v>73</v>
      </c>
      <c r="N27" s="64" t="s">
        <v>64</v>
      </c>
      <c r="O27" s="65" t="s">
        <v>154</v>
      </c>
      <c r="P27" s="66" t="s">
        <v>155</v>
      </c>
    </row>
    <row r="28" spans="1:16" ht="12.75" customHeight="1" x14ac:dyDescent="0.2">
      <c r="A28" s="8" t="str">
        <f t="shared" si="0"/>
        <v>IBVS 6033 </v>
      </c>
      <c r="B28" s="22" t="str">
        <f t="shared" si="1"/>
        <v>I</v>
      </c>
      <c r="C28" s="8">
        <f t="shared" si="2"/>
        <v>55983.413999999997</v>
      </c>
      <c r="D28" t="str">
        <f t="shared" si="3"/>
        <v>vis</v>
      </c>
      <c r="E28">
        <f>VLOOKUP(C28,Active!C$21:E$972,3,FALSE)</f>
        <v>10769.093824320629</v>
      </c>
      <c r="F28" s="22" t="s">
        <v>69</v>
      </c>
      <c r="G28" t="str">
        <f t="shared" si="4"/>
        <v>55983.4140</v>
      </c>
      <c r="H28" s="8">
        <f t="shared" si="5"/>
        <v>10769</v>
      </c>
      <c r="I28" s="63" t="s">
        <v>156</v>
      </c>
      <c r="J28" s="64" t="s">
        <v>157</v>
      </c>
      <c r="K28" s="63" t="s">
        <v>158</v>
      </c>
      <c r="L28" s="63" t="s">
        <v>159</v>
      </c>
      <c r="M28" s="64" t="s">
        <v>73</v>
      </c>
      <c r="N28" s="64" t="s">
        <v>69</v>
      </c>
      <c r="O28" s="65" t="s">
        <v>160</v>
      </c>
      <c r="P28" s="66" t="s">
        <v>161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23" r:id="rId13"/>
    <hyperlink ref="P24" r:id="rId14"/>
    <hyperlink ref="P25" r:id="rId15"/>
    <hyperlink ref="P26" r:id="rId16"/>
    <hyperlink ref="P27" r:id="rId17"/>
    <hyperlink ref="P28" r:id="rId1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2023-08-22T08:05:21Z</dcterms:created>
  <dcterms:modified xsi:type="dcterms:W3CDTF">2023-08-22T08:05:21Z</dcterms:modified>
</cp:coreProperties>
</file>