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9EC94A0-6C9D-4EAA-8234-8E3B134F0640}" xr6:coauthVersionLast="47" xr6:coauthVersionMax="47" xr10:uidLastSave="{00000000-0000-0000-0000-000000000000}"/>
  <bookViews>
    <workbookView xWindow="14430" yWindow="840" windowWidth="13590" windowHeight="1452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20" i="1" l="1"/>
  <c r="F120" i="1"/>
  <c r="G120" i="1" s="1"/>
  <c r="K120" i="1" s="1"/>
  <c r="Q120" i="1"/>
  <c r="E118" i="1"/>
  <c r="F118" i="1" s="1"/>
  <c r="G118" i="1" s="1"/>
  <c r="K118" i="1" s="1"/>
  <c r="Q118" i="1"/>
  <c r="E119" i="1"/>
  <c r="F119" i="1" s="1"/>
  <c r="G119" i="1" s="1"/>
  <c r="K119" i="1" s="1"/>
  <c r="Q119" i="1"/>
  <c r="E116" i="1"/>
  <c r="F116" i="1" s="1"/>
  <c r="G116" i="1" s="1"/>
  <c r="K116" i="1" s="1"/>
  <c r="Q116" i="1"/>
  <c r="E117" i="1"/>
  <c r="F117" i="1" s="1"/>
  <c r="G117" i="1" s="1"/>
  <c r="K117" i="1" s="1"/>
  <c r="Q117" i="1"/>
  <c r="C9" i="1"/>
  <c r="D9" i="1"/>
  <c r="F16" i="1"/>
  <c r="F17" i="1" s="1"/>
  <c r="C17" i="1"/>
  <c r="E21" i="1"/>
  <c r="F21" i="1" s="1"/>
  <c r="G21" i="1" s="1"/>
  <c r="H21" i="1" s="1"/>
  <c r="Q21" i="1"/>
  <c r="E22" i="1"/>
  <c r="E25" i="2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/>
  <c r="G26" i="1" s="1"/>
  <c r="H26" i="1" s="1"/>
  <c r="Q26" i="1"/>
  <c r="E27" i="1"/>
  <c r="E30" i="2" s="1"/>
  <c r="Q27" i="1"/>
  <c r="E28" i="1"/>
  <c r="E31" i="2" s="1"/>
  <c r="Q28" i="1"/>
  <c r="E29" i="1"/>
  <c r="F29" i="1" s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H31" i="1" s="1"/>
  <c r="Q31" i="1"/>
  <c r="E32" i="1"/>
  <c r="F32" i="1" s="1"/>
  <c r="G32" i="1" s="1"/>
  <c r="I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E38" i="2" s="1"/>
  <c r="Q35" i="1"/>
  <c r="E36" i="1"/>
  <c r="F36" i="1"/>
  <c r="G36" i="1" s="1"/>
  <c r="N36" i="1" s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/>
  <c r="G42" i="1" s="1"/>
  <c r="I42" i="1" s="1"/>
  <c r="Q42" i="1"/>
  <c r="E43" i="1"/>
  <c r="E46" i="2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/>
  <c r="G50" i="1" s="1"/>
  <c r="I50" i="1" s="1"/>
  <c r="Q50" i="1"/>
  <c r="E51" i="1"/>
  <c r="E54" i="2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/>
  <c r="G58" i="1" s="1"/>
  <c r="I58" i="1" s="1"/>
  <c r="Q58" i="1"/>
  <c r="E59" i="1"/>
  <c r="E62" i="2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E69" i="2" s="1"/>
  <c r="Q66" i="1"/>
  <c r="E67" i="1"/>
  <c r="E70" i="2" s="1"/>
  <c r="Q67" i="1"/>
  <c r="E68" i="1"/>
  <c r="F68" i="1"/>
  <c r="U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/>
  <c r="G71" i="1" s="1"/>
  <c r="I71" i="1" s="1"/>
  <c r="Q71" i="1"/>
  <c r="E72" i="1"/>
  <c r="E75" i="2" s="1"/>
  <c r="Q72" i="1"/>
  <c r="E73" i="1"/>
  <c r="F73" i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E82" i="2" s="1"/>
  <c r="Q79" i="1"/>
  <c r="E80" i="1"/>
  <c r="E83" i="2" s="1"/>
  <c r="Q80" i="1"/>
  <c r="E81" i="1"/>
  <c r="F81" i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J85" i="1" s="1"/>
  <c r="Q85" i="1"/>
  <c r="E86" i="1"/>
  <c r="F86" i="1" s="1"/>
  <c r="G86" i="1" s="1"/>
  <c r="I86" i="1" s="1"/>
  <c r="Q86" i="1"/>
  <c r="E87" i="1"/>
  <c r="F87" i="1" s="1"/>
  <c r="G87" i="1" s="1"/>
  <c r="J87" i="1" s="1"/>
  <c r="Q87" i="1"/>
  <c r="E88" i="1"/>
  <c r="F88" i="1" s="1"/>
  <c r="G88" i="1" s="1"/>
  <c r="J88" i="1" s="1"/>
  <c r="Q88" i="1"/>
  <c r="E89" i="1"/>
  <c r="F89" i="1" s="1"/>
  <c r="G89" i="1" s="1"/>
  <c r="J89" i="1" s="1"/>
  <c r="Q89" i="1"/>
  <c r="E90" i="1"/>
  <c r="F90" i="1" s="1"/>
  <c r="G90" i="1" s="1"/>
  <c r="J90" i="1" s="1"/>
  <c r="Q90" i="1"/>
  <c r="E91" i="1"/>
  <c r="F91" i="1" s="1"/>
  <c r="G91" i="1" s="1"/>
  <c r="J91" i="1" s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E94" i="1"/>
  <c r="F94" i="1" s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E98" i="1"/>
  <c r="F98" i="1" s="1"/>
  <c r="G98" i="1" s="1"/>
  <c r="K98" i="1" s="1"/>
  <c r="Q98" i="1"/>
  <c r="E99" i="1"/>
  <c r="F99" i="1" s="1"/>
  <c r="G99" i="1" s="1"/>
  <c r="K99" i="1" s="1"/>
  <c r="Q99" i="1"/>
  <c r="E100" i="1"/>
  <c r="F100" i="1" s="1"/>
  <c r="G100" i="1" s="1"/>
  <c r="K100" i="1" s="1"/>
  <c r="Q100" i="1"/>
  <c r="E101" i="1"/>
  <c r="F101" i="1" s="1"/>
  <c r="G101" i="1" s="1"/>
  <c r="K101" i="1" s="1"/>
  <c r="Q101" i="1"/>
  <c r="E102" i="1"/>
  <c r="F102" i="1" s="1"/>
  <c r="G102" i="1" s="1"/>
  <c r="K102" i="1" s="1"/>
  <c r="Q102" i="1"/>
  <c r="E103" i="1"/>
  <c r="F103" i="1" s="1"/>
  <c r="G103" i="1" s="1"/>
  <c r="K103" i="1" s="1"/>
  <c r="Q103" i="1"/>
  <c r="E104" i="1"/>
  <c r="E20" i="2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E107" i="1"/>
  <c r="F107" i="1" s="1"/>
  <c r="G107" i="1" s="1"/>
  <c r="K107" i="1" s="1"/>
  <c r="Q107" i="1"/>
  <c r="E108" i="1"/>
  <c r="F108" i="1" s="1"/>
  <c r="G108" i="1" s="1"/>
  <c r="K108" i="1" s="1"/>
  <c r="Q108" i="1"/>
  <c r="E109" i="1"/>
  <c r="F109" i="1" s="1"/>
  <c r="G109" i="1" s="1"/>
  <c r="K109" i="1" s="1"/>
  <c r="Q109" i="1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A11" i="2"/>
  <c r="C11" i="2"/>
  <c r="E11" i="2"/>
  <c r="D11" i="2"/>
  <c r="F11" i="2"/>
  <c r="G11" i="2"/>
  <c r="H11" i="2"/>
  <c r="B11" i="2"/>
  <c r="A12" i="2"/>
  <c r="D12" i="2"/>
  <c r="G12" i="2"/>
  <c r="C12" i="2"/>
  <c r="E12" i="2"/>
  <c r="H12" i="2"/>
  <c r="B12" i="2"/>
  <c r="A13" i="2"/>
  <c r="B13" i="2"/>
  <c r="D13" i="2"/>
  <c r="G13" i="2"/>
  <c r="C13" i="2"/>
  <c r="H13" i="2"/>
  <c r="A14" i="2"/>
  <c r="B14" i="2"/>
  <c r="C14" i="2"/>
  <c r="D14" i="2"/>
  <c r="G14" i="2"/>
  <c r="H14" i="2"/>
  <c r="A15" i="2"/>
  <c r="C15" i="2"/>
  <c r="E15" i="2"/>
  <c r="D15" i="2"/>
  <c r="G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D18" i="2"/>
  <c r="G18" i="2"/>
  <c r="C18" i="2"/>
  <c r="E18" i="2"/>
  <c r="H18" i="2"/>
  <c r="B18" i="2"/>
  <c r="A19" i="2"/>
  <c r="C19" i="2"/>
  <c r="E19" i="2"/>
  <c r="D19" i="2"/>
  <c r="G19" i="2"/>
  <c r="H19" i="2"/>
  <c r="B19" i="2"/>
  <c r="A20" i="2"/>
  <c r="B20" i="2"/>
  <c r="C20" i="2"/>
  <c r="D20" i="2"/>
  <c r="G20" i="2"/>
  <c r="H20" i="2"/>
  <c r="A21" i="2"/>
  <c r="B21" i="2"/>
  <c r="C21" i="2"/>
  <c r="D21" i="2"/>
  <c r="G21" i="2"/>
  <c r="H21" i="2"/>
  <c r="A22" i="2"/>
  <c r="B22" i="2"/>
  <c r="C22" i="2"/>
  <c r="E22" i="2"/>
  <c r="D22" i="2"/>
  <c r="G22" i="2"/>
  <c r="H22" i="2"/>
  <c r="A23" i="2"/>
  <c r="C23" i="2"/>
  <c r="D23" i="2"/>
  <c r="G23" i="2"/>
  <c r="H23" i="2"/>
  <c r="B23" i="2"/>
  <c r="A24" i="2"/>
  <c r="D24" i="2"/>
  <c r="G24" i="2"/>
  <c r="C24" i="2"/>
  <c r="E24" i="2"/>
  <c r="H24" i="2"/>
  <c r="B24" i="2"/>
  <c r="A25" i="2"/>
  <c r="D25" i="2"/>
  <c r="G25" i="2"/>
  <c r="C25" i="2"/>
  <c r="H25" i="2"/>
  <c r="B25" i="2"/>
  <c r="A26" i="2"/>
  <c r="D26" i="2"/>
  <c r="G26" i="2"/>
  <c r="C26" i="2"/>
  <c r="H26" i="2"/>
  <c r="B26" i="2"/>
  <c r="A27" i="2"/>
  <c r="C27" i="2"/>
  <c r="E27" i="2"/>
  <c r="D27" i="2"/>
  <c r="G27" i="2"/>
  <c r="H27" i="2"/>
  <c r="B27" i="2"/>
  <c r="A28" i="2"/>
  <c r="B28" i="2"/>
  <c r="C28" i="2"/>
  <c r="E28" i="2"/>
  <c r="D28" i="2"/>
  <c r="G28" i="2"/>
  <c r="H28" i="2"/>
  <c r="A29" i="2"/>
  <c r="B29" i="2"/>
  <c r="C29" i="2"/>
  <c r="D29" i="2"/>
  <c r="E29" i="2"/>
  <c r="G29" i="2"/>
  <c r="H29" i="2"/>
  <c r="A30" i="2"/>
  <c r="B30" i="2"/>
  <c r="C30" i="2"/>
  <c r="D30" i="2"/>
  <c r="G30" i="2"/>
  <c r="H30" i="2"/>
  <c r="A31" i="2"/>
  <c r="C31" i="2"/>
  <c r="D31" i="2"/>
  <c r="G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H33" i="2"/>
  <c r="B33" i="2"/>
  <c r="A34" i="2"/>
  <c r="D34" i="2"/>
  <c r="G34" i="2"/>
  <c r="C34" i="2"/>
  <c r="E34" i="2"/>
  <c r="H34" i="2"/>
  <c r="B34" i="2"/>
  <c r="A35" i="2"/>
  <c r="C35" i="2"/>
  <c r="E35" i="2"/>
  <c r="D35" i="2"/>
  <c r="G35" i="2"/>
  <c r="H35" i="2"/>
  <c r="B35" i="2"/>
  <c r="A36" i="2"/>
  <c r="B36" i="2"/>
  <c r="C36" i="2"/>
  <c r="E36" i="2"/>
  <c r="D36" i="2"/>
  <c r="G36" i="2"/>
  <c r="H36" i="2"/>
  <c r="A37" i="2"/>
  <c r="B37" i="2"/>
  <c r="C37" i="2"/>
  <c r="D37" i="2"/>
  <c r="G37" i="2"/>
  <c r="H37" i="2"/>
  <c r="A38" i="2"/>
  <c r="B38" i="2"/>
  <c r="C38" i="2"/>
  <c r="D38" i="2"/>
  <c r="G38" i="2"/>
  <c r="H38" i="2"/>
  <c r="A39" i="2"/>
  <c r="C39" i="2"/>
  <c r="E39" i="2"/>
  <c r="D39" i="2"/>
  <c r="G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D42" i="2"/>
  <c r="G42" i="2"/>
  <c r="C42" i="2"/>
  <c r="E42" i="2"/>
  <c r="H42" i="2"/>
  <c r="B42" i="2"/>
  <c r="A43" i="2"/>
  <c r="C43" i="2"/>
  <c r="D43" i="2"/>
  <c r="G43" i="2"/>
  <c r="H43" i="2"/>
  <c r="B43" i="2"/>
  <c r="A44" i="2"/>
  <c r="B44" i="2"/>
  <c r="C44" i="2"/>
  <c r="E44" i="2"/>
  <c r="D44" i="2"/>
  <c r="G44" i="2"/>
  <c r="H44" i="2"/>
  <c r="A45" i="2"/>
  <c r="B45" i="2"/>
  <c r="C45" i="2"/>
  <c r="D45" i="2"/>
  <c r="E45" i="2"/>
  <c r="G45" i="2"/>
  <c r="H45" i="2"/>
  <c r="A46" i="2"/>
  <c r="B46" i="2"/>
  <c r="C46" i="2"/>
  <c r="D46" i="2"/>
  <c r="G46" i="2"/>
  <c r="H46" i="2"/>
  <c r="A47" i="2"/>
  <c r="C47" i="2"/>
  <c r="E47" i="2"/>
  <c r="D47" i="2"/>
  <c r="G47" i="2"/>
  <c r="H47" i="2"/>
  <c r="B47" i="2"/>
  <c r="A48" i="2"/>
  <c r="D48" i="2"/>
  <c r="G48" i="2"/>
  <c r="C48" i="2"/>
  <c r="H48" i="2"/>
  <c r="B48" i="2"/>
  <c r="A49" i="2"/>
  <c r="D49" i="2"/>
  <c r="G49" i="2"/>
  <c r="C49" i="2"/>
  <c r="E49" i="2"/>
  <c r="H49" i="2"/>
  <c r="B49" i="2"/>
  <c r="A50" i="2"/>
  <c r="D50" i="2"/>
  <c r="G50" i="2"/>
  <c r="C50" i="2"/>
  <c r="E50" i="2"/>
  <c r="H50" i="2"/>
  <c r="B50" i="2"/>
  <c r="A51" i="2"/>
  <c r="C51" i="2"/>
  <c r="E51" i="2"/>
  <c r="D51" i="2"/>
  <c r="G51" i="2"/>
  <c r="H51" i="2"/>
  <c r="B51" i="2"/>
  <c r="A52" i="2"/>
  <c r="B52" i="2"/>
  <c r="C52" i="2"/>
  <c r="E52" i="2"/>
  <c r="D52" i="2"/>
  <c r="G52" i="2"/>
  <c r="H52" i="2"/>
  <c r="A53" i="2"/>
  <c r="B53" i="2"/>
  <c r="C53" i="2"/>
  <c r="D53" i="2"/>
  <c r="E53" i="2"/>
  <c r="G53" i="2"/>
  <c r="H53" i="2"/>
  <c r="A54" i="2"/>
  <c r="B54" i="2"/>
  <c r="C54" i="2"/>
  <c r="D54" i="2"/>
  <c r="G54" i="2"/>
  <c r="H54" i="2"/>
  <c r="A55" i="2"/>
  <c r="C55" i="2"/>
  <c r="D55" i="2"/>
  <c r="G55" i="2"/>
  <c r="H55" i="2"/>
  <c r="B55" i="2"/>
  <c r="A56" i="2"/>
  <c r="D56" i="2"/>
  <c r="G56" i="2"/>
  <c r="C56" i="2"/>
  <c r="E56" i="2"/>
  <c r="H56" i="2"/>
  <c r="B56" i="2"/>
  <c r="A57" i="2"/>
  <c r="D57" i="2"/>
  <c r="G57" i="2"/>
  <c r="C57" i="2"/>
  <c r="E57" i="2"/>
  <c r="H57" i="2"/>
  <c r="B57" i="2"/>
  <c r="A58" i="2"/>
  <c r="D58" i="2"/>
  <c r="G58" i="2"/>
  <c r="C58" i="2"/>
  <c r="E58" i="2"/>
  <c r="H58" i="2"/>
  <c r="B58" i="2"/>
  <c r="A59" i="2"/>
  <c r="C59" i="2"/>
  <c r="E59" i="2"/>
  <c r="D59" i="2"/>
  <c r="G59" i="2"/>
  <c r="H59" i="2"/>
  <c r="B59" i="2"/>
  <c r="A60" i="2"/>
  <c r="B60" i="2"/>
  <c r="C60" i="2"/>
  <c r="D60" i="2"/>
  <c r="G60" i="2"/>
  <c r="H60" i="2"/>
  <c r="A61" i="2"/>
  <c r="B61" i="2"/>
  <c r="C61" i="2"/>
  <c r="D61" i="2"/>
  <c r="E61" i="2"/>
  <c r="G61" i="2"/>
  <c r="H61" i="2"/>
  <c r="A62" i="2"/>
  <c r="B62" i="2"/>
  <c r="C62" i="2"/>
  <c r="D62" i="2"/>
  <c r="G62" i="2"/>
  <c r="H62" i="2"/>
  <c r="A63" i="2"/>
  <c r="C63" i="2"/>
  <c r="E63" i="2"/>
  <c r="D63" i="2"/>
  <c r="G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E65" i="2"/>
  <c r="H65" i="2"/>
  <c r="B65" i="2"/>
  <c r="A66" i="2"/>
  <c r="D66" i="2"/>
  <c r="G66" i="2"/>
  <c r="C66" i="2"/>
  <c r="E66" i="2"/>
  <c r="H66" i="2"/>
  <c r="B66" i="2"/>
  <c r="A67" i="2"/>
  <c r="C67" i="2"/>
  <c r="E67" i="2"/>
  <c r="D67" i="2"/>
  <c r="G67" i="2"/>
  <c r="H67" i="2"/>
  <c r="B67" i="2"/>
  <c r="A68" i="2"/>
  <c r="B68" i="2"/>
  <c r="C68" i="2"/>
  <c r="D68" i="2"/>
  <c r="G68" i="2"/>
  <c r="H68" i="2"/>
  <c r="A69" i="2"/>
  <c r="B69" i="2"/>
  <c r="C69" i="2"/>
  <c r="D69" i="2"/>
  <c r="G69" i="2"/>
  <c r="H69" i="2"/>
  <c r="A70" i="2"/>
  <c r="B70" i="2"/>
  <c r="C70" i="2"/>
  <c r="D70" i="2"/>
  <c r="G70" i="2"/>
  <c r="H70" i="2"/>
  <c r="A71" i="2"/>
  <c r="C71" i="2"/>
  <c r="E71" i="2"/>
  <c r="D71" i="2"/>
  <c r="G71" i="2"/>
  <c r="H71" i="2"/>
  <c r="B71" i="2"/>
  <c r="A72" i="2"/>
  <c r="D72" i="2"/>
  <c r="G72" i="2"/>
  <c r="C72" i="2"/>
  <c r="H72" i="2"/>
  <c r="B72" i="2"/>
  <c r="A73" i="2"/>
  <c r="D73" i="2"/>
  <c r="G73" i="2"/>
  <c r="C73" i="2"/>
  <c r="H73" i="2"/>
  <c r="B73" i="2"/>
  <c r="A74" i="2"/>
  <c r="D74" i="2"/>
  <c r="G74" i="2"/>
  <c r="C74" i="2"/>
  <c r="E74" i="2"/>
  <c r="H74" i="2"/>
  <c r="B74" i="2"/>
  <c r="A75" i="2"/>
  <c r="C75" i="2"/>
  <c r="D75" i="2"/>
  <c r="G75" i="2"/>
  <c r="H75" i="2"/>
  <c r="B75" i="2"/>
  <c r="A76" i="2"/>
  <c r="B76" i="2"/>
  <c r="C76" i="2"/>
  <c r="E76" i="2"/>
  <c r="D76" i="2"/>
  <c r="G76" i="2"/>
  <c r="H76" i="2"/>
  <c r="A77" i="2"/>
  <c r="B77" i="2"/>
  <c r="C77" i="2"/>
  <c r="D77" i="2"/>
  <c r="E77" i="2"/>
  <c r="G77" i="2"/>
  <c r="H77" i="2"/>
  <c r="A78" i="2"/>
  <c r="B78" i="2"/>
  <c r="C78" i="2"/>
  <c r="E78" i="2"/>
  <c r="D78" i="2"/>
  <c r="G78" i="2"/>
  <c r="H78" i="2"/>
  <c r="A79" i="2"/>
  <c r="C79" i="2"/>
  <c r="E79" i="2"/>
  <c r="D79" i="2"/>
  <c r="G79" i="2"/>
  <c r="H79" i="2"/>
  <c r="B79" i="2"/>
  <c r="A80" i="2"/>
  <c r="D80" i="2"/>
  <c r="G80" i="2"/>
  <c r="C80" i="2"/>
  <c r="E80" i="2"/>
  <c r="H80" i="2"/>
  <c r="B80" i="2"/>
  <c r="A81" i="2"/>
  <c r="D81" i="2"/>
  <c r="G81" i="2"/>
  <c r="C81" i="2"/>
  <c r="E81" i="2"/>
  <c r="H81" i="2"/>
  <c r="B81" i="2"/>
  <c r="A82" i="2"/>
  <c r="D82" i="2"/>
  <c r="G82" i="2"/>
  <c r="C82" i="2"/>
  <c r="H82" i="2"/>
  <c r="B82" i="2"/>
  <c r="A83" i="2"/>
  <c r="C83" i="2"/>
  <c r="D83" i="2"/>
  <c r="G83" i="2"/>
  <c r="H83" i="2"/>
  <c r="B83" i="2"/>
  <c r="A84" i="2"/>
  <c r="B84" i="2"/>
  <c r="C84" i="2"/>
  <c r="E84" i="2"/>
  <c r="D84" i="2"/>
  <c r="G84" i="2"/>
  <c r="H84" i="2"/>
  <c r="A85" i="2"/>
  <c r="B85" i="2"/>
  <c r="C85" i="2"/>
  <c r="D85" i="2"/>
  <c r="G85" i="2"/>
  <c r="H85" i="2"/>
  <c r="A86" i="2"/>
  <c r="B86" i="2"/>
  <c r="C86" i="2"/>
  <c r="D86" i="2"/>
  <c r="G86" i="2"/>
  <c r="H86" i="2"/>
  <c r="A87" i="2"/>
  <c r="C87" i="2"/>
  <c r="E87" i="2"/>
  <c r="D87" i="2"/>
  <c r="G87" i="2"/>
  <c r="H87" i="2"/>
  <c r="B87" i="2"/>
  <c r="A88" i="2"/>
  <c r="D88" i="2"/>
  <c r="G88" i="2"/>
  <c r="C88" i="2"/>
  <c r="E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C91" i="2"/>
  <c r="E91" i="2"/>
  <c r="F91" i="2"/>
  <c r="D91" i="2"/>
  <c r="G91" i="2"/>
  <c r="H91" i="2"/>
  <c r="B91" i="2"/>
  <c r="A92" i="2"/>
  <c r="C92" i="2"/>
  <c r="E92" i="2"/>
  <c r="F92" i="2"/>
  <c r="D92" i="2"/>
  <c r="G92" i="2"/>
  <c r="H92" i="2"/>
  <c r="B92" i="2"/>
  <c r="A93" i="2"/>
  <c r="C93" i="2"/>
  <c r="E93" i="2"/>
  <c r="F93" i="2"/>
  <c r="D93" i="2"/>
  <c r="G93" i="2"/>
  <c r="H93" i="2"/>
  <c r="B93" i="2"/>
  <c r="A94" i="2"/>
  <c r="C94" i="2"/>
  <c r="E94" i="2"/>
  <c r="F94" i="2"/>
  <c r="D94" i="2"/>
  <c r="G94" i="2"/>
  <c r="H94" i="2"/>
  <c r="B94" i="2"/>
  <c r="A95" i="2"/>
  <c r="C95" i="2"/>
  <c r="D95" i="2"/>
  <c r="G95" i="2"/>
  <c r="H95" i="2"/>
  <c r="B95" i="2"/>
  <c r="A96" i="2"/>
  <c r="B96" i="2"/>
  <c r="C96" i="2"/>
  <c r="E96" i="2"/>
  <c r="D96" i="2"/>
  <c r="G96" i="2"/>
  <c r="H96" i="2"/>
  <c r="A97" i="2"/>
  <c r="B97" i="2"/>
  <c r="C97" i="2"/>
  <c r="D97" i="2"/>
  <c r="E97" i="2"/>
  <c r="G97" i="2"/>
  <c r="H97" i="2"/>
  <c r="C11" i="1"/>
  <c r="C12" i="1"/>
  <c r="O120" i="1" l="1"/>
  <c r="E48" i="2"/>
  <c r="E95" i="2"/>
  <c r="E37" i="2"/>
  <c r="E86" i="2"/>
  <c r="E55" i="2"/>
  <c r="E72" i="2"/>
  <c r="O118" i="1"/>
  <c r="E21" i="2"/>
  <c r="E14" i="2"/>
  <c r="E85" i="2"/>
  <c r="E16" i="2"/>
  <c r="F79" i="1"/>
  <c r="G79" i="1" s="1"/>
  <c r="I79" i="1" s="1"/>
  <c r="F66" i="1"/>
  <c r="G66" i="1" s="1"/>
  <c r="I66" i="1" s="1"/>
  <c r="F22" i="1"/>
  <c r="G22" i="1" s="1"/>
  <c r="H22" i="1" s="1"/>
  <c r="E73" i="2"/>
  <c r="E43" i="2"/>
  <c r="F28" i="1"/>
  <c r="G28" i="1" s="1"/>
  <c r="I28" i="1" s="1"/>
  <c r="E89" i="2"/>
  <c r="E60" i="2"/>
  <c r="E13" i="2"/>
  <c r="E68" i="2"/>
  <c r="E33" i="2"/>
  <c r="E26" i="2"/>
  <c r="E90" i="2"/>
  <c r="F104" i="1"/>
  <c r="G104" i="1" s="1"/>
  <c r="K104" i="1" s="1"/>
  <c r="F80" i="1"/>
  <c r="G80" i="1" s="1"/>
  <c r="I80" i="1" s="1"/>
  <c r="F72" i="1"/>
  <c r="G72" i="1" s="1"/>
  <c r="I72" i="1" s="1"/>
  <c r="F67" i="1"/>
  <c r="G67" i="1" s="1"/>
  <c r="I67" i="1" s="1"/>
  <c r="F59" i="1"/>
  <c r="G59" i="1" s="1"/>
  <c r="I59" i="1" s="1"/>
  <c r="F51" i="1"/>
  <c r="G51" i="1" s="1"/>
  <c r="I51" i="1" s="1"/>
  <c r="F43" i="1"/>
  <c r="G43" i="1" s="1"/>
  <c r="I43" i="1" s="1"/>
  <c r="F35" i="1"/>
  <c r="G35" i="1" s="1"/>
  <c r="H35" i="1" s="1"/>
  <c r="F27" i="1"/>
  <c r="G27" i="1" s="1"/>
  <c r="I27" i="1" s="1"/>
  <c r="E23" i="2"/>
  <c r="E17" i="2"/>
  <c r="O119" i="1"/>
  <c r="O98" i="1"/>
  <c r="O114" i="1"/>
  <c r="O105" i="1"/>
  <c r="O106" i="1"/>
  <c r="O107" i="1"/>
  <c r="O97" i="1"/>
  <c r="O112" i="1"/>
  <c r="O111" i="1"/>
  <c r="O109" i="1"/>
  <c r="O116" i="1"/>
  <c r="O99" i="1"/>
  <c r="O95" i="1"/>
  <c r="O102" i="1"/>
  <c r="O100" i="1"/>
  <c r="O101" i="1"/>
  <c r="O108" i="1"/>
  <c r="O110" i="1"/>
  <c r="O113" i="1"/>
  <c r="O103" i="1"/>
  <c r="O115" i="1"/>
  <c r="O117" i="1"/>
  <c r="O96" i="1"/>
  <c r="C16" i="1"/>
  <c r="D18" i="1" s="1"/>
  <c r="C15" i="1" l="1"/>
  <c r="F18" i="1" s="1"/>
  <c r="F19" i="1" s="1"/>
  <c r="O104" i="1"/>
  <c r="C18" i="1" l="1"/>
</calcChain>
</file>

<file path=xl/sharedStrings.xml><?xml version="1.0" encoding="utf-8"?>
<sst xmlns="http://schemas.openxmlformats.org/spreadsheetml/2006/main" count="886" uniqueCount="367">
  <si>
    <t>AK Vir / GSC 6141-0431</t>
  </si>
  <si>
    <t>AK Vir</t>
  </si>
  <si>
    <t>G6141-0431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</si>
  <si>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</si>
  <si>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</si>
  <si>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</si>
  <si>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</si>
  <si>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</si>
  <si>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</si>
  <si>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J.M. Kreiner, 2004, Acta Astronomica, vol. 54, pp 207-210.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</si>
  <si>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</si>
  <si>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</si>
  <si>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</si>
  <si>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</si>
  <si>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</si>
  <si>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</si>
  <si>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</si>
  <si>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</si>
  <si>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</si>
  <si>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</si>
  <si>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</si>
  <si>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</si>
  <si>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</si>
  <si>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</si>
  <si>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</si>
  <si>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</si>
  <si>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</si>
  <si>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</si>
  <si>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</si>
  <si>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</si>
  <si>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</si>
  <si>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</si>
  <si>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</si>
  <si>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</si>
  <si>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</si>
  <si>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</si>
  <si>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</si>
  <si>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</si>
  <si>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</si>
  <si>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</si>
  <si>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</si>
  <si>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</si>
  <si>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</si>
  <si>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</si>
  <si>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</si>
  <si>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</si>
  <si>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 AA 26.346 </t>
  </si>
  <si>
    <t>I</t>
  </si>
  <si>
    <t> AC 65.4 </t>
  </si>
  <si>
    <t> IODE 4.3.66 </t>
  </si>
  <si>
    <t> PZ 12.276 </t>
  </si>
  <si>
    <t> AAC 4.118 </t>
  </si>
  <si>
    <t> AA 6.145 </t>
  </si>
  <si>
    <t>IBVS 0344 </t>
  </si>
  <si>
    <t> BBS 14 </t>
  </si>
  <si>
    <t> BBS 15 </t>
  </si>
  <si>
    <t> BBS 19 </t>
  </si>
  <si>
    <t> BBS 21 </t>
  </si>
  <si>
    <t> BBS 22 </t>
  </si>
  <si>
    <t> BBS 23 </t>
  </si>
  <si>
    <t> BBS 26 </t>
  </si>
  <si>
    <t> BBS 27 </t>
  </si>
  <si>
    <t> BBS 28 </t>
  </si>
  <si>
    <t> BBS 32 </t>
  </si>
  <si>
    <t> AOEB 9 </t>
  </si>
  <si>
    <t> BBS 37 </t>
  </si>
  <si>
    <t> BBS 43 </t>
  </si>
  <si>
    <t> BBS 48 </t>
  </si>
  <si>
    <t> BBS 60 </t>
  </si>
  <si>
    <t> BBS 66 </t>
  </si>
  <si>
    <t> BBS 83 </t>
  </si>
  <si>
    <t> BBS 88 </t>
  </si>
  <si>
    <t> BBS 95 </t>
  </si>
  <si>
    <t> BBS 97 </t>
  </si>
  <si>
    <t> BBS 103 </t>
  </si>
  <si>
    <t> BBS 106 </t>
  </si>
  <si>
    <t> BBS 108 </t>
  </si>
  <si>
    <t> BBS 112 </t>
  </si>
  <si>
    <t> BBS 115 </t>
  </si>
  <si>
    <t> BBS 116 </t>
  </si>
  <si>
    <t> BBS 117 </t>
  </si>
  <si>
    <t> BBS 118 </t>
  </si>
  <si>
    <t> BBS 119 </t>
  </si>
  <si>
    <t> BBS 124 </t>
  </si>
  <si>
    <t> BBS 127 </t>
  </si>
  <si>
    <t>Kreiner</t>
  </si>
  <si>
    <t>IBVS 5690</t>
  </si>
  <si>
    <t>VSB 45 </t>
  </si>
  <si>
    <t> AOEB 12 </t>
  </si>
  <si>
    <t>JAVSO..36..186</t>
  </si>
  <si>
    <t>JAVSO..38...85</t>
  </si>
  <si>
    <t>JAVSO..39...94</t>
  </si>
  <si>
    <t>OEJV 0160</t>
  </si>
  <si>
    <t> JAAVSO 41;122 </t>
  </si>
  <si>
    <t>JAVSO..41..122</t>
  </si>
  <si>
    <t>JAVSO..42..426</t>
  </si>
  <si>
    <t>JAVSO..44..164</t>
  </si>
  <si>
    <t>JAVSO..45..215</t>
  </si>
  <si>
    <t>OEJV 0191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</si>
  <si>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</si>
  <si>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</si>
  <si>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</si>
  <si>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</si>
  <si>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</si>
  <si>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</si>
  <si>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</si>
  <si>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</si>
  <si>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</si>
  <si>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</si>
  <si>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2453515.6819 </t>
  </si>
  <si>
    <t> 25.05.2005 04:21 </t>
  </si>
  <si>
    <t> -0.0527 </t>
  </si>
  <si>
    <t>E </t>
  </si>
  <si>
    <t>?</t>
  </si>
  <si>
    <t> T. Krajci </t>
  </si>
  <si>
    <t>IBVS 5690 </t>
  </si>
  <si>
    <t>2454588.7297 </t>
  </si>
  <si>
    <t> 02.05.2008 05:30 </t>
  </si>
  <si>
    <t> -0.0496 </t>
  </si>
  <si>
    <t>C </t>
  </si>
  <si>
    <t>o</t>
  </si>
  <si>
    <t> J.Bialozynski </t>
  </si>
  <si>
    <t>JAAVSO 36(2);186 </t>
  </si>
  <si>
    <t>2454933.6824 </t>
  </si>
  <si>
    <t> 12.04.2009 04:22 </t>
  </si>
  <si>
    <t> -0.0467 </t>
  </si>
  <si>
    <t>ns</t>
  </si>
  <si>
    <t> G.Samolyk </t>
  </si>
  <si>
    <t> JAAVSO 38;85 </t>
  </si>
  <si>
    <t>2455309.6695 </t>
  </si>
  <si>
    <t> 23.04.2010 04:04 </t>
  </si>
  <si>
    <t> -0.0430 </t>
  </si>
  <si>
    <t> JAAVSO 39;94 </t>
  </si>
  <si>
    <t>2455629.55631 </t>
  </si>
  <si>
    <t> 09.03.2011 01:21 </t>
  </si>
  <si>
    <t> -0.04051 </t>
  </si>
  <si>
    <t>R</t>
  </si>
  <si>
    <t> M.Lehky </t>
  </si>
  <si>
    <t>OEJV 0160 </t>
  </si>
  <si>
    <t>2455629.55655 </t>
  </si>
  <si>
    <t> -0.04027 </t>
  </si>
  <si>
    <t>B</t>
  </si>
  <si>
    <t>2455629.55675 </t>
  </si>
  <si>
    <t> -0.04007 </t>
  </si>
  <si>
    <t>2455629.55678 </t>
  </si>
  <si>
    <t> -0.04004 </t>
  </si>
  <si>
    <t>2456011.5133 </t>
  </si>
  <si>
    <t> 25.03.2012 00:19 </t>
  </si>
  <si>
    <t> -0.0349 </t>
  </si>
  <si>
    <t>2456011.51339 </t>
  </si>
  <si>
    <t> -0.03482 </t>
  </si>
  <si>
    <t>2456011.51347 </t>
  </si>
  <si>
    <t> -0.03474 </t>
  </si>
  <si>
    <t>2456011.51362 </t>
  </si>
  <si>
    <t> -0.03459 </t>
  </si>
  <si>
    <t>2456801.6800 </t>
  </si>
  <si>
    <t> 24.05.2014 04:19 </t>
  </si>
  <si>
    <t> -0.0302 </t>
  </si>
  <si>
    <t> JAAVSO 42;426 </t>
  </si>
  <si>
    <t>2427551.396 </t>
  </si>
  <si>
    <t> 23.04.1934 21:30 </t>
  </si>
  <si>
    <t> 0.001 </t>
  </si>
  <si>
    <t>V </t>
  </si>
  <si>
    <t> S.Piotrowski </t>
  </si>
  <si>
    <t>2427570.493 </t>
  </si>
  <si>
    <t> 12.05.1934 23:49 </t>
  </si>
  <si>
    <t> 0.000 </t>
  </si>
  <si>
    <t>2427927.369 </t>
  </si>
  <si>
    <t> 04.05.1935 20:51 </t>
  </si>
  <si>
    <t> -0.010 </t>
  </si>
  <si>
    <t>2428285.458 </t>
  </si>
  <si>
    <t> 26.04.1936 22:59 </t>
  </si>
  <si>
    <t>2428346.329 </t>
  </si>
  <si>
    <t> 26.06.1936 19:53 </t>
  </si>
  <si>
    <t> -0.002 </t>
  </si>
  <si>
    <t> K.Kordylewski </t>
  </si>
  <si>
    <t>2430843.329 </t>
  </si>
  <si>
    <t> 28.04.1943 19:53 </t>
  </si>
  <si>
    <t> A.Soloviev </t>
  </si>
  <si>
    <t>2431231.260 </t>
  </si>
  <si>
    <t> 20.05.1944 18:14 </t>
  </si>
  <si>
    <t> 0.002 </t>
  </si>
  <si>
    <t> W.Zessewitsch </t>
  </si>
  <si>
    <t>2431256.314 </t>
  </si>
  <si>
    <t> 14.06.1944 19:32 </t>
  </si>
  <si>
    <t>2431262.284 </t>
  </si>
  <si>
    <t> 20.06.1944 18:48 </t>
  </si>
  <si>
    <t> -0.008 </t>
  </si>
  <si>
    <t>2431268.247 </t>
  </si>
  <si>
    <t> 26.06.1944 17:55 </t>
  </si>
  <si>
    <t> -0.013 </t>
  </si>
  <si>
    <t>2432262.522 </t>
  </si>
  <si>
    <t> 18.03.1947 00:31 </t>
  </si>
  <si>
    <t> -0.005 </t>
  </si>
  <si>
    <t>2432344.873 </t>
  </si>
  <si>
    <t> 08.06.1947 08:57 </t>
  </si>
  <si>
    <t> -0.012 </t>
  </si>
  <si>
    <t>2432347.270 </t>
  </si>
  <si>
    <t> 10.06.1947 18:28 </t>
  </si>
  <si>
    <t>2432674.316 </t>
  </si>
  <si>
    <t> 02.05.1948 19:35 </t>
  </si>
  <si>
    <t> A.Szczepanowska </t>
  </si>
  <si>
    <t>2433063.438 </t>
  </si>
  <si>
    <t> 26.05.1949 22:30 </t>
  </si>
  <si>
    <t> 0.007 </t>
  </si>
  <si>
    <t>2440025.695 </t>
  </si>
  <si>
    <t> 18.06.1968 04:40 </t>
  </si>
  <si>
    <t> 0.006 </t>
  </si>
  <si>
    <t> D.S.Hall </t>
  </si>
  <si>
    <t>IBVS 344 </t>
  </si>
  <si>
    <t>2442109.702 </t>
  </si>
  <si>
    <t> 03.03.1974 04:50 </t>
  </si>
  <si>
    <t> -0.009 </t>
  </si>
  <si>
    <t> K.Locher </t>
  </si>
  <si>
    <t>2442127.616 </t>
  </si>
  <si>
    <t> 21.03.1974 02:47 </t>
  </si>
  <si>
    <t>2442194.452 </t>
  </si>
  <si>
    <t> 26.05.1974 22:50 </t>
  </si>
  <si>
    <t>2442405.719 </t>
  </si>
  <si>
    <t> 24.12.1974 05:15 </t>
  </si>
  <si>
    <t> -0.004 </t>
  </si>
  <si>
    <t>2442460.620 </t>
  </si>
  <si>
    <t> 17.02.1975 02:52 </t>
  </si>
  <si>
    <t>2442466.594 </t>
  </si>
  <si>
    <t> 23.02.1975 02:15 </t>
  </si>
  <si>
    <t> -0.003 </t>
  </si>
  <si>
    <t>2442478.541 </t>
  </si>
  <si>
    <t> 07.03.1975 00:59 </t>
  </si>
  <si>
    <t> 0.008 </t>
  </si>
  <si>
    <t>2442509.574 </t>
  </si>
  <si>
    <t> 07.04.1975 01:46 </t>
  </si>
  <si>
    <t>2442521.509 </t>
  </si>
  <si>
    <t> 19.04.1975 00:12 </t>
  </si>
  <si>
    <t>2442545.371 </t>
  </si>
  <si>
    <t> 12.05.1975 20:54 </t>
  </si>
  <si>
    <t>2442570.442 </t>
  </si>
  <si>
    <t> 06.06.1975 22:36 </t>
  </si>
  <si>
    <t>2442576.408 </t>
  </si>
  <si>
    <t> 12.06.1975 21:47 </t>
  </si>
  <si>
    <t> H.Peter </t>
  </si>
  <si>
    <t>2442787.669 </t>
  </si>
  <si>
    <t> 10.01.1976 04:03 </t>
  </si>
  <si>
    <t> -0.006 </t>
  </si>
  <si>
    <t>2442866.450 </t>
  </si>
  <si>
    <t> 28.03.1976 22:48 </t>
  </si>
  <si>
    <t>2442866.466 </t>
  </si>
  <si>
    <t> 28.03.1976 23:11 </t>
  </si>
  <si>
    <t> 0.014 </t>
  </si>
  <si>
    <t>2442915.392 </t>
  </si>
  <si>
    <t> 16.05.1976 21:24 </t>
  </si>
  <si>
    <t>2443157.687 </t>
  </si>
  <si>
    <t> 14.01.1977 04:29 </t>
  </si>
  <si>
    <t>2443262.724 </t>
  </si>
  <si>
    <t> 29.04.1977 05:22 </t>
  </si>
  <si>
    <t>2443655.412 </t>
  </si>
  <si>
    <t> 26.05.1978 21:53 </t>
  </si>
  <si>
    <t>2443988.436 </t>
  </si>
  <si>
    <t> 24.04.1979 22:27 </t>
  </si>
  <si>
    <t>2444395.444 </t>
  </si>
  <si>
    <t> 04.06.1980 22:39 </t>
  </si>
  <si>
    <t>2444766.665 </t>
  </si>
  <si>
    <t> 11.06.1981 03:57 </t>
  </si>
  <si>
    <t> 0.004 </t>
  </si>
  <si>
    <t>2445092.514 </t>
  </si>
  <si>
    <t> 03.05.1982 00:20 </t>
  </si>
  <si>
    <t>2445104.440 </t>
  </si>
  <si>
    <t> 14.05.1982 22:33 </t>
  </si>
  <si>
    <t>2445116.379 </t>
  </si>
  <si>
    <t> 26.05.1982 21:05 </t>
  </si>
  <si>
    <t> R.Germann </t>
  </si>
  <si>
    <t>2445431.476 </t>
  </si>
  <si>
    <t> 06.04.1983 23:25 </t>
  </si>
  <si>
    <t> -0.019 </t>
  </si>
  <si>
    <t>2445437.460 </t>
  </si>
  <si>
    <t> 12.04.1983 23:02 </t>
  </si>
  <si>
    <t>2445463.710 </t>
  </si>
  <si>
    <t> 09.05.1983 05:02 </t>
  </si>
  <si>
    <t>2445474.455 </t>
  </si>
  <si>
    <t> 19.05.1983 22:55 </t>
  </si>
  <si>
    <t>2445876.704 </t>
  </si>
  <si>
    <t> 25.06.1984 04:53 </t>
  </si>
  <si>
    <t>2446917.559 </t>
  </si>
  <si>
    <t> 02.05.1987 01:24 </t>
  </si>
  <si>
    <t> 0.035 </t>
  </si>
  <si>
    <t> M.Kohl </t>
  </si>
  <si>
    <t>2446924.670 </t>
  </si>
  <si>
    <t> 09.05.1987 04:04 </t>
  </si>
  <si>
    <t> -0.016 </t>
  </si>
  <si>
    <t>2447262.449 </t>
  </si>
  <si>
    <t> 10.04.1988 22:46 </t>
  </si>
  <si>
    <t> -0.025 </t>
  </si>
  <si>
    <t>2448008.445 </t>
  </si>
  <si>
    <t> 26.04.1990 22:40 </t>
  </si>
  <si>
    <t> -0.028 </t>
  </si>
  <si>
    <t>2448311.619 </t>
  </si>
  <si>
    <t> 24.02.1991 02:51 </t>
  </si>
  <si>
    <t>2449075.518 </t>
  </si>
  <si>
    <t> 29.03.1993 00:25 </t>
  </si>
  <si>
    <t> -0.032 </t>
  </si>
  <si>
    <t>2449451.503 </t>
  </si>
  <si>
    <t> 09.04.1994 00:04 </t>
  </si>
  <si>
    <t> -0.030 </t>
  </si>
  <si>
    <t>2449748.702 </t>
  </si>
  <si>
    <t> 31.01.1995 04:50 </t>
  </si>
  <si>
    <t> -0.037 </t>
  </si>
  <si>
    <t>2450252.401 </t>
  </si>
  <si>
    <t> 17.06.1996 21:37 </t>
  </si>
  <si>
    <t> -0.036 </t>
  </si>
  <si>
    <t>2450548.421 </t>
  </si>
  <si>
    <t> 09.04.1997 22:06 </t>
  </si>
  <si>
    <t> -0.029 </t>
  </si>
  <si>
    <t>2450573.479 </t>
  </si>
  <si>
    <t> 04.05.1997 23:29 </t>
  </si>
  <si>
    <t>2450580.640 </t>
  </si>
  <si>
    <t> 12.05.1997 03:21 </t>
  </si>
  <si>
    <t> S.Cook </t>
  </si>
  <si>
    <t>2450876.637 </t>
  </si>
  <si>
    <t> 04.03.1998 03:17 </t>
  </si>
  <si>
    <t> -0.052 </t>
  </si>
  <si>
    <t>2450949.444 </t>
  </si>
  <si>
    <t> 15.05.1998 22:39 </t>
  </si>
  <si>
    <t> -0.055 </t>
  </si>
  <si>
    <t>2451197.713 </t>
  </si>
  <si>
    <t> 19.01.1999 05:06 </t>
  </si>
  <si>
    <t> -0.054 </t>
  </si>
  <si>
    <t>2451967.595 </t>
  </si>
  <si>
    <t> 27.02.2001 02:16 </t>
  </si>
  <si>
    <t> -0.043 </t>
  </si>
  <si>
    <t>2452276.727 </t>
  </si>
  <si>
    <t> 02.01.2002 05:26 </t>
  </si>
  <si>
    <t> -0.053 </t>
  </si>
  <si>
    <t>2452405.6341 </t>
  </si>
  <si>
    <t> 11.05.2002 03:13 </t>
  </si>
  <si>
    <t> -0.0543 </t>
  </si>
  <si>
    <t> S.Dvorak </t>
  </si>
  <si>
    <t>2452763.710 </t>
  </si>
  <si>
    <t> 04.05.2003 05:02 </t>
  </si>
  <si>
    <t> -0.058 </t>
  </si>
  <si>
    <t> D.Williams </t>
  </si>
  <si>
    <t>2452769.6807 </t>
  </si>
  <si>
    <t> 10.05.2003 04:20 </t>
  </si>
  <si>
    <t> -0.0551 </t>
  </si>
  <si>
    <t> C.Hesseltine </t>
  </si>
  <si>
    <t>2452781.6170 </t>
  </si>
  <si>
    <t> 22.05.2003 02:48 </t>
  </si>
  <si>
    <t> -0.0548 </t>
  </si>
  <si>
    <t>2452812.6502 </t>
  </si>
  <si>
    <t> 22.06.2003 03:36 </t>
  </si>
  <si>
    <t>2453176.7008 </t>
  </si>
  <si>
    <t> 20.06.2004 04:49 </t>
  </si>
  <si>
    <t> -0.0519 </t>
  </si>
  <si>
    <t>2453815.2762 </t>
  </si>
  <si>
    <t> 20.03.2006 18:37 </t>
  </si>
  <si>
    <t> -0.0515 </t>
  </si>
  <si>
    <t> K. Nagai et al. </t>
  </si>
  <si>
    <t>2454200.8104 </t>
  </si>
  <si>
    <t> 10.04.2007 07:26 </t>
  </si>
  <si>
    <t> -0.0495 </t>
  </si>
  <si>
    <t>2454218.7144 </t>
  </si>
  <si>
    <t> 28.04.2007 05:08 </t>
  </si>
  <si>
    <t>2456074.7779 </t>
  </si>
  <si>
    <t> 27.05.2012 06:40 </t>
  </si>
  <si>
    <t> -0.0310 </t>
  </si>
  <si>
    <t>JAVSO 49, 256</t>
  </si>
  <si>
    <t>JAAVSO, 50, 255</t>
  </si>
  <si>
    <t>BAAVSSC193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</si>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</sst>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/mm/yyyy;@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  <xf numFmtId="43" fontId="14" fillId="0" borderId="0" applyFont="0" applyFill="0" applyBorder="0" applyAlignment="0" applyProtection="0"/>
  </cellStyleXfs>
  <cellXfs count="6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1" xfId="0" applyBorder="1">
      <alignment vertical="top"/>
    </xf>
    <xf numFmtId="0" fontId="2" fillId="0" borderId="0" xfId="0" applyFont="1">
      <alignment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Border="1" applyAlignment="1">
      <alignment horizontal="center"/>
    </xf>
    <xf numFmtId="0" fontId="6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6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9" fillId="2" borderId="11" xfId="0" applyFont="1" applyFill="1" applyBorder="1" applyAlignment="1">
      <alignment horizontal="left" vertical="top" wrapText="1" indent="1"/>
    </xf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7" fontId="15" fillId="0" borderId="0" xfId="0" applyNumberFormat="1" applyFont="1" applyAlignment="1">
      <alignment vertical="center" wrapText="1"/>
    </xf>
    <xf numFmtId="167" fontId="15" fillId="0" borderId="0" xfId="0" applyNumberFormat="1" applyFont="1" applyAlignment="1">
      <alignment horizontal="right" vertical="center" wrapText="1"/>
    </xf>
    <xf numFmtId="43" fontId="15" fillId="0" borderId="0" xfId="8" applyFont="1" applyBorder="1"/>
    <xf numFmtId="167" fontId="15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Vir - O-C Diagr.</a:t>
            </a:r>
          </a:p>
        </c:rich>
      </c:tx>
      <c:layout>
        <c:manualLayout>
          <c:xMode val="edge"/>
          <c:yMode val="edge"/>
          <c:x val="0.38930194646917277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732068347816"/>
          <c:y val="0.2372379329659727"/>
          <c:w val="0.80980742260591465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Active!$H$21:$H$115</c:f>
              <c:numCache>
                <c:formatCode>General</c:formatCode>
                <c:ptCount val="95"/>
                <c:pt idx="0">
                  <c:v>0.13551569999981439</c:v>
                </c:pt>
                <c:pt idx="1">
                  <c:v>0.13488529999813181</c:v>
                </c:pt>
                <c:pt idx="2">
                  <c:v>0.12391719999868656</c:v>
                </c:pt>
                <c:pt idx="3">
                  <c:v>0.13234720000036759</c:v>
                </c:pt>
                <c:pt idx="4">
                  <c:v>0.12965030000123079</c:v>
                </c:pt>
                <c:pt idx="5">
                  <c:v>0.11447550000229967</c:v>
                </c:pt>
                <c:pt idx="10">
                  <c:v>0.11481640000056359</c:v>
                </c:pt>
                <c:pt idx="12">
                  <c:v>0.117081500000495</c:v>
                </c:pt>
                <c:pt idx="13">
                  <c:v>0.11616090000097756</c:v>
                </c:pt>
                <c:pt idx="14">
                  <c:v>0.1239415000018198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E4-4BF7-A146-CD5657E628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Active!$I$21:$I$115</c:f>
              <c:numCache>
                <c:formatCode>General</c:formatCode>
                <c:ptCount val="95"/>
                <c:pt idx="6">
                  <c:v>0.12485799999922165</c:v>
                </c:pt>
                <c:pt idx="7">
                  <c:v>0.11321809999935795</c:v>
                </c:pt>
                <c:pt idx="8">
                  <c:v>0.11520860000018729</c:v>
                </c:pt>
                <c:pt idx="9">
                  <c:v>0.11019909999959054</c:v>
                </c:pt>
                <c:pt idx="11">
                  <c:v>0.10728530000051251</c:v>
                </c:pt>
                <c:pt idx="16">
                  <c:v>7.914139999775216E-2</c:v>
                </c:pt>
                <c:pt idx="17">
                  <c:v>8.9112900001055095E-2</c:v>
                </c:pt>
                <c:pt idx="18">
                  <c:v>8.3406500001729E-2</c:v>
                </c:pt>
                <c:pt idx="19">
                  <c:v>8.2870199999888428E-2</c:v>
                </c:pt>
                <c:pt idx="20">
                  <c:v>7.818280000356026E-2</c:v>
                </c:pt>
                <c:pt idx="21">
                  <c:v>8.4173299997928552E-2</c:v>
                </c:pt>
                <c:pt idx="22">
                  <c:v>9.5154299997375347E-2</c:v>
                </c:pt>
                <c:pt idx="23">
                  <c:v>9.450490000017453E-2</c:v>
                </c:pt>
                <c:pt idx="24">
                  <c:v>9.3485899997176602E-2</c:v>
                </c:pt>
                <c:pt idx="25">
                  <c:v>8.3447900004102848E-2</c:v>
                </c:pt>
                <c:pt idx="26">
                  <c:v>8.8808000007702503E-2</c:v>
                </c:pt>
                <c:pt idx="27">
                  <c:v>8.6798500000440981E-2</c:v>
                </c:pt>
                <c:pt idx="28">
                  <c:v>8.6798500000440981E-2</c:v>
                </c:pt>
                <c:pt idx="29">
                  <c:v>8.0262200004654005E-2</c:v>
                </c:pt>
                <c:pt idx="30">
                  <c:v>8.3536799997091293E-2</c:v>
                </c:pt>
                <c:pt idx="31">
                  <c:v>9.9536800000350922E-2</c:v>
                </c:pt>
                <c:pt idx="32">
                  <c:v>8.7858899998536799E-2</c:v>
                </c:pt>
                <c:pt idx="33">
                  <c:v>8.1673200002114754E-2</c:v>
                </c:pt>
                <c:pt idx="34">
                  <c:v>8.1706000004487578E-2</c:v>
                </c:pt>
                <c:pt idx="35">
                  <c:v>7.4680899997474626E-2</c:v>
                </c:pt>
                <c:pt idx="36">
                  <c:v>8.3750800004054327E-2</c:v>
                </c:pt>
                <c:pt idx="37">
                  <c:v>7.3502900006133132E-2</c:v>
                </c:pt>
                <c:pt idx="38">
                  <c:v>8.4311999999044929E-2</c:v>
                </c:pt>
                <c:pt idx="39">
                  <c:v>7.9993300001660828E-2</c:v>
                </c:pt>
                <c:pt idx="40">
                  <c:v>6.9974300000467338E-2</c:v>
                </c:pt>
                <c:pt idx="41">
                  <c:v>7.2955299998284318E-2</c:v>
                </c:pt>
                <c:pt idx="42">
                  <c:v>5.9053700002550613E-2</c:v>
                </c:pt>
                <c:pt idx="43">
                  <c:v>7.5044199998956174E-2</c:v>
                </c:pt>
                <c:pt idx="44">
                  <c:v>6.5802400000393391E-2</c:v>
                </c:pt>
                <c:pt idx="45">
                  <c:v>6.8385300000954885E-2</c:v>
                </c:pt>
                <c:pt idx="46">
                  <c:v>7.354499999928521E-2</c:v>
                </c:pt>
                <c:pt idx="48">
                  <c:v>5.7076799996139016E-2</c:v>
                </c:pt>
                <c:pt idx="49">
                  <c:v>4.6739099998376332E-2</c:v>
                </c:pt>
                <c:pt idx="50">
                  <c:v>4.1551599999365862E-2</c:v>
                </c:pt>
                <c:pt idx="51">
                  <c:v>4.066900000179885E-2</c:v>
                </c:pt>
                <c:pt idx="52">
                  <c:v>3.4453000000212342E-2</c:v>
                </c:pt>
                <c:pt idx="53">
                  <c:v>3.4854500001529232E-2</c:v>
                </c:pt>
                <c:pt idx="54">
                  <c:v>2.6981399998476263E-2</c:v>
                </c:pt>
                <c:pt idx="55">
                  <c:v>2.5979599995480385E-2</c:v>
                </c:pt>
                <c:pt idx="56">
                  <c:v>3.2708400001865812E-2</c:v>
                </c:pt>
                <c:pt idx="57">
                  <c:v>2.5068499999179039E-2</c:v>
                </c:pt>
                <c:pt idx="58">
                  <c:v>2.4457100000290666E-2</c:v>
                </c:pt>
                <c:pt idx="59">
                  <c:v>8.1859000056283548E-3</c:v>
                </c:pt>
                <c:pt idx="60">
                  <c:v>5.4700000036973506E-3</c:v>
                </c:pt>
                <c:pt idx="61">
                  <c:v>5.2748000016435981E-3</c:v>
                </c:pt>
                <c:pt idx="62">
                  <c:v>1.4049299999896903E-2</c:v>
                </c:pt>
                <c:pt idx="63">
                  <c:v>3.1572000007145107E-3</c:v>
                </c:pt>
                <c:pt idx="6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E4-4BF7-A146-CD5657E6280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Active!$J$21:$J$115</c:f>
              <c:numCache>
                <c:formatCode>General</c:formatCode>
                <c:ptCount val="95"/>
                <c:pt idx="64">
                  <c:v>1.2520000018412247E-3</c:v>
                </c:pt>
                <c:pt idx="66">
                  <c:v>-3.4180000002379529E-3</c:v>
                </c:pt>
                <c:pt idx="67">
                  <c:v>-7.2750000254018232E-4</c:v>
                </c:pt>
                <c:pt idx="68">
                  <c:v>-4.4650000199908391E-4</c:v>
                </c:pt>
                <c:pt idx="69">
                  <c:v>-8.9590000425232574E-4</c:v>
                </c:pt>
                <c:pt idx="70">
                  <c:v>1.1245999994571321E-3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E4-4BF7-A146-CD5657E6280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Active!$K$21:$K$115</c:f>
              <c:numCache>
                <c:formatCode>General</c:formatCode>
                <c:ptCount val="95"/>
                <c:pt idx="71">
                  <c:v>-7.1499999467050657E-4</c:v>
                </c:pt>
                <c:pt idx="72">
                  <c:v>-4.9189999845111743E-4</c:v>
                </c:pt>
                <c:pt idx="73">
                  <c:v>2.9440000071190298E-4</c:v>
                </c:pt>
                <c:pt idx="74">
                  <c:v>2.6589999470161274E-4</c:v>
                </c:pt>
                <c:pt idx="75">
                  <c:v>-1.0230999978375621E-3</c:v>
                </c:pt>
                <c:pt idx="76">
                  <c:v>7.2779999754857272E-4</c:v>
                </c:pt>
                <c:pt idx="77">
                  <c:v>3.2293000040226616E-3</c:v>
                </c:pt>
                <c:pt idx="78">
                  <c:v>4.7301000013248995E-3</c:v>
                </c:pt>
                <c:pt idx="79">
                  <c:v>4.9701000025379471E-3</c:v>
                </c:pt>
                <c:pt idx="80">
                  <c:v>5.1701000047614798E-3</c:v>
                </c:pt>
                <c:pt idx="81">
                  <c:v>5.2001000003656372E-3</c:v>
                </c:pt>
                <c:pt idx="82">
                  <c:v>9.1121000004932284E-3</c:v>
                </c:pt>
                <c:pt idx="83">
                  <c:v>9.202100001857616E-3</c:v>
                </c:pt>
                <c:pt idx="84">
                  <c:v>9.282099999836646E-3</c:v>
                </c:pt>
                <c:pt idx="85">
                  <c:v>9.4320999996853061E-3</c:v>
                </c:pt>
                <c:pt idx="86">
                  <c:v>1.2811400003556628E-2</c:v>
                </c:pt>
                <c:pt idx="87">
                  <c:v>1.2911400001030415E-2</c:v>
                </c:pt>
                <c:pt idx="88">
                  <c:v>1.1354299997037742E-2</c:v>
                </c:pt>
                <c:pt idx="89">
                  <c:v>5.360600000130944E-3</c:v>
                </c:pt>
                <c:pt idx="90">
                  <c:v>-1.1728000026778318E-3</c:v>
                </c:pt>
                <c:pt idx="91">
                  <c:v>1.7970000044442713E-4</c:v>
                </c:pt>
                <c:pt idx="92">
                  <c:v>-4.1504000037093647E-3</c:v>
                </c:pt>
                <c:pt idx="93">
                  <c:v>-4.9349000037182122E-3</c:v>
                </c:pt>
                <c:pt idx="94">
                  <c:v>-8.7524000045959838E-3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E4-4BF7-A146-CD5657E6280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Active!$L$21:$L$115</c:f>
              <c:numCache>
                <c:formatCode>General</c:formatCode>
                <c:ptCount val="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E4-4BF7-A146-CD5657E628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Active!$M$21:$M$115</c:f>
              <c:numCache>
                <c:formatCode>General</c:formatCode>
                <c:ptCount val="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E4-4BF7-A146-CD5657E628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Active!$N$21:$N$115</c:f>
              <c:numCache>
                <c:formatCode>General</c:formatCode>
                <c:ptCount val="95"/>
                <c:pt idx="15">
                  <c:v>0.10105879999900935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E4-4BF7-A146-CD5657E628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Active!$O$21:$O$115</c:f>
              <c:numCache>
                <c:formatCode>General</c:formatCode>
                <c:ptCount val="95"/>
                <c:pt idx="74">
                  <c:v>3.2407451642385551E-2</c:v>
                </c:pt>
                <c:pt idx="75">
                  <c:v>2.919338404367278E-2</c:v>
                </c:pt>
                <c:pt idx="76">
                  <c:v>2.6197043604872808E-2</c:v>
                </c:pt>
                <c:pt idx="77">
                  <c:v>2.2931136206180796E-2</c:v>
                </c:pt>
                <c:pt idx="78">
                  <c:v>2.0152522927293623E-2</c:v>
                </c:pt>
                <c:pt idx="79">
                  <c:v>2.0152522927293623E-2</c:v>
                </c:pt>
                <c:pt idx="80">
                  <c:v>2.0152522927293623E-2</c:v>
                </c:pt>
                <c:pt idx="81">
                  <c:v>2.0152522927293623E-2</c:v>
                </c:pt>
                <c:pt idx="82">
                  <c:v>1.6834775728622374E-2</c:v>
                </c:pt>
                <c:pt idx="83">
                  <c:v>1.6834775728622374E-2</c:v>
                </c:pt>
                <c:pt idx="84">
                  <c:v>1.6834775728622374E-2</c:v>
                </c:pt>
                <c:pt idx="85">
                  <c:v>1.6834775728622374E-2</c:v>
                </c:pt>
                <c:pt idx="86">
                  <c:v>1.6285273848842447E-2</c:v>
                </c:pt>
                <c:pt idx="87">
                  <c:v>1.6285273848842447E-2</c:v>
                </c:pt>
                <c:pt idx="88">
                  <c:v>9.971186211371226E-3</c:v>
                </c:pt>
                <c:pt idx="89">
                  <c:v>4.5487431335428999E-3</c:v>
                </c:pt>
                <c:pt idx="90">
                  <c:v>5.4671057514570076E-4</c:v>
                </c:pt>
                <c:pt idx="91">
                  <c:v>2.8751157524951193E-4</c:v>
                </c:pt>
                <c:pt idx="92">
                  <c:v>-2.6051492635919826E-3</c:v>
                </c:pt>
                <c:pt idx="93">
                  <c:v>-5.2489790625331392E-3</c:v>
                </c:pt>
                <c:pt idx="94">
                  <c:v>-8.6185660611836218E-3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E4-4BF7-A146-CD5657E6280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Active!$U$21:$U$115</c:f>
              <c:numCache>
                <c:formatCode>General</c:formatCode>
                <c:ptCount val="95"/>
                <c:pt idx="47">
                  <c:v>0.10768819999793777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E4-4BF7-A146-CD5657E62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136576"/>
        <c:axId val="1"/>
      </c:scatterChart>
      <c:valAx>
        <c:axId val="1026136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463595839524518E-2"/>
              <c:y val="0.42042168152404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61365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19332093146601"/>
          <c:y val="0.90090342310814753"/>
          <c:w val="0.70579541598904894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Vir - O-C Diagr.</a:t>
            </a:r>
          </a:p>
        </c:rich>
      </c:tx>
      <c:layout>
        <c:manualLayout>
          <c:xMode val="edge"/>
          <c:yMode val="edge"/>
          <c:x val="0.33974426273638875"/>
          <c:y val="4.790419161676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17133699614591"/>
          <c:y val="0.23652729189174174"/>
          <c:w val="0.75000156500727211"/>
          <c:h val="0.514970812726323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Active!$H$21:$H$115</c:f>
              <c:numCache>
                <c:formatCode>General</c:formatCode>
                <c:ptCount val="95"/>
                <c:pt idx="0">
                  <c:v>0.13551569999981439</c:v>
                </c:pt>
                <c:pt idx="1">
                  <c:v>0.13488529999813181</c:v>
                </c:pt>
                <c:pt idx="2">
                  <c:v>0.12391719999868656</c:v>
                </c:pt>
                <c:pt idx="3">
                  <c:v>0.13234720000036759</c:v>
                </c:pt>
                <c:pt idx="4">
                  <c:v>0.12965030000123079</c:v>
                </c:pt>
                <c:pt idx="5">
                  <c:v>0.11447550000229967</c:v>
                </c:pt>
                <c:pt idx="10">
                  <c:v>0.11481640000056359</c:v>
                </c:pt>
                <c:pt idx="12">
                  <c:v>0.117081500000495</c:v>
                </c:pt>
                <c:pt idx="13">
                  <c:v>0.11616090000097756</c:v>
                </c:pt>
                <c:pt idx="14">
                  <c:v>0.1239415000018198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1-44D8-B6DF-B99E65C810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Active!$I$21:$I$115</c:f>
              <c:numCache>
                <c:formatCode>General</c:formatCode>
                <c:ptCount val="95"/>
                <c:pt idx="6">
                  <c:v>0.12485799999922165</c:v>
                </c:pt>
                <c:pt idx="7">
                  <c:v>0.11321809999935795</c:v>
                </c:pt>
                <c:pt idx="8">
                  <c:v>0.11520860000018729</c:v>
                </c:pt>
                <c:pt idx="9">
                  <c:v>0.11019909999959054</c:v>
                </c:pt>
                <c:pt idx="11">
                  <c:v>0.10728530000051251</c:v>
                </c:pt>
                <c:pt idx="16">
                  <c:v>7.914139999775216E-2</c:v>
                </c:pt>
                <c:pt idx="17">
                  <c:v>8.9112900001055095E-2</c:v>
                </c:pt>
                <c:pt idx="18">
                  <c:v>8.3406500001729E-2</c:v>
                </c:pt>
                <c:pt idx="19">
                  <c:v>8.2870199999888428E-2</c:v>
                </c:pt>
                <c:pt idx="20">
                  <c:v>7.818280000356026E-2</c:v>
                </c:pt>
                <c:pt idx="21">
                  <c:v>8.4173299997928552E-2</c:v>
                </c:pt>
                <c:pt idx="22">
                  <c:v>9.5154299997375347E-2</c:v>
                </c:pt>
                <c:pt idx="23">
                  <c:v>9.450490000017453E-2</c:v>
                </c:pt>
                <c:pt idx="24">
                  <c:v>9.3485899997176602E-2</c:v>
                </c:pt>
                <c:pt idx="25">
                  <c:v>8.3447900004102848E-2</c:v>
                </c:pt>
                <c:pt idx="26">
                  <c:v>8.8808000007702503E-2</c:v>
                </c:pt>
                <c:pt idx="27">
                  <c:v>8.6798500000440981E-2</c:v>
                </c:pt>
                <c:pt idx="28">
                  <c:v>8.6798500000440981E-2</c:v>
                </c:pt>
                <c:pt idx="29">
                  <c:v>8.0262200004654005E-2</c:v>
                </c:pt>
                <c:pt idx="30">
                  <c:v>8.3536799997091293E-2</c:v>
                </c:pt>
                <c:pt idx="31">
                  <c:v>9.9536800000350922E-2</c:v>
                </c:pt>
                <c:pt idx="32">
                  <c:v>8.7858899998536799E-2</c:v>
                </c:pt>
                <c:pt idx="33">
                  <c:v>8.1673200002114754E-2</c:v>
                </c:pt>
                <c:pt idx="34">
                  <c:v>8.1706000004487578E-2</c:v>
                </c:pt>
                <c:pt idx="35">
                  <c:v>7.4680899997474626E-2</c:v>
                </c:pt>
                <c:pt idx="36">
                  <c:v>8.3750800004054327E-2</c:v>
                </c:pt>
                <c:pt idx="37">
                  <c:v>7.3502900006133132E-2</c:v>
                </c:pt>
                <c:pt idx="38">
                  <c:v>8.4311999999044929E-2</c:v>
                </c:pt>
                <c:pt idx="39">
                  <c:v>7.9993300001660828E-2</c:v>
                </c:pt>
                <c:pt idx="40">
                  <c:v>6.9974300000467338E-2</c:v>
                </c:pt>
                <c:pt idx="41">
                  <c:v>7.2955299998284318E-2</c:v>
                </c:pt>
                <c:pt idx="42">
                  <c:v>5.9053700002550613E-2</c:v>
                </c:pt>
                <c:pt idx="43">
                  <c:v>7.5044199998956174E-2</c:v>
                </c:pt>
                <c:pt idx="44">
                  <c:v>6.5802400000393391E-2</c:v>
                </c:pt>
                <c:pt idx="45">
                  <c:v>6.8385300000954885E-2</c:v>
                </c:pt>
                <c:pt idx="46">
                  <c:v>7.354499999928521E-2</c:v>
                </c:pt>
                <c:pt idx="48">
                  <c:v>5.7076799996139016E-2</c:v>
                </c:pt>
                <c:pt idx="49">
                  <c:v>4.6739099998376332E-2</c:v>
                </c:pt>
                <c:pt idx="50">
                  <c:v>4.1551599999365862E-2</c:v>
                </c:pt>
                <c:pt idx="51">
                  <c:v>4.066900000179885E-2</c:v>
                </c:pt>
                <c:pt idx="52">
                  <c:v>3.4453000000212342E-2</c:v>
                </c:pt>
                <c:pt idx="53">
                  <c:v>3.4854500001529232E-2</c:v>
                </c:pt>
                <c:pt idx="54">
                  <c:v>2.6981399998476263E-2</c:v>
                </c:pt>
                <c:pt idx="55">
                  <c:v>2.5979599995480385E-2</c:v>
                </c:pt>
                <c:pt idx="56">
                  <c:v>3.2708400001865812E-2</c:v>
                </c:pt>
                <c:pt idx="57">
                  <c:v>2.5068499999179039E-2</c:v>
                </c:pt>
                <c:pt idx="58">
                  <c:v>2.4457100000290666E-2</c:v>
                </c:pt>
                <c:pt idx="59">
                  <c:v>8.1859000056283548E-3</c:v>
                </c:pt>
                <c:pt idx="60">
                  <c:v>5.4700000036973506E-3</c:v>
                </c:pt>
                <c:pt idx="61">
                  <c:v>5.2748000016435981E-3</c:v>
                </c:pt>
                <c:pt idx="62">
                  <c:v>1.4049299999896903E-2</c:v>
                </c:pt>
                <c:pt idx="63">
                  <c:v>3.1572000007145107E-3</c:v>
                </c:pt>
                <c:pt idx="6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D1-44D8-B6DF-B99E65C8109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Active!$J$21:$J$115</c:f>
              <c:numCache>
                <c:formatCode>General</c:formatCode>
                <c:ptCount val="95"/>
                <c:pt idx="64">
                  <c:v>1.2520000018412247E-3</c:v>
                </c:pt>
                <c:pt idx="66">
                  <c:v>-3.4180000002379529E-3</c:v>
                </c:pt>
                <c:pt idx="67">
                  <c:v>-7.2750000254018232E-4</c:v>
                </c:pt>
                <c:pt idx="68">
                  <c:v>-4.4650000199908391E-4</c:v>
                </c:pt>
                <c:pt idx="69">
                  <c:v>-8.9590000425232574E-4</c:v>
                </c:pt>
                <c:pt idx="70">
                  <c:v>1.1245999994571321E-3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D1-44D8-B6DF-B99E65C8109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Active!$K$21:$K$115</c:f>
              <c:numCache>
                <c:formatCode>General</c:formatCode>
                <c:ptCount val="95"/>
                <c:pt idx="71">
                  <c:v>-7.1499999467050657E-4</c:v>
                </c:pt>
                <c:pt idx="72">
                  <c:v>-4.9189999845111743E-4</c:v>
                </c:pt>
                <c:pt idx="73">
                  <c:v>2.9440000071190298E-4</c:v>
                </c:pt>
                <c:pt idx="74">
                  <c:v>2.6589999470161274E-4</c:v>
                </c:pt>
                <c:pt idx="75">
                  <c:v>-1.0230999978375621E-3</c:v>
                </c:pt>
                <c:pt idx="76">
                  <c:v>7.2779999754857272E-4</c:v>
                </c:pt>
                <c:pt idx="77">
                  <c:v>3.2293000040226616E-3</c:v>
                </c:pt>
                <c:pt idx="78">
                  <c:v>4.7301000013248995E-3</c:v>
                </c:pt>
                <c:pt idx="79">
                  <c:v>4.9701000025379471E-3</c:v>
                </c:pt>
                <c:pt idx="80">
                  <c:v>5.1701000047614798E-3</c:v>
                </c:pt>
                <c:pt idx="81">
                  <c:v>5.2001000003656372E-3</c:v>
                </c:pt>
                <c:pt idx="82">
                  <c:v>9.1121000004932284E-3</c:v>
                </c:pt>
                <c:pt idx="83">
                  <c:v>9.202100001857616E-3</c:v>
                </c:pt>
                <c:pt idx="84">
                  <c:v>9.282099999836646E-3</c:v>
                </c:pt>
                <c:pt idx="85">
                  <c:v>9.4320999996853061E-3</c:v>
                </c:pt>
                <c:pt idx="86">
                  <c:v>1.2811400003556628E-2</c:v>
                </c:pt>
                <c:pt idx="87">
                  <c:v>1.2911400001030415E-2</c:v>
                </c:pt>
                <c:pt idx="88">
                  <c:v>1.1354299997037742E-2</c:v>
                </c:pt>
                <c:pt idx="89">
                  <c:v>5.360600000130944E-3</c:v>
                </c:pt>
                <c:pt idx="90">
                  <c:v>-1.1728000026778318E-3</c:v>
                </c:pt>
                <c:pt idx="91">
                  <c:v>1.7970000044442713E-4</c:v>
                </c:pt>
                <c:pt idx="92">
                  <c:v>-4.1504000037093647E-3</c:v>
                </c:pt>
                <c:pt idx="93">
                  <c:v>-4.9349000037182122E-3</c:v>
                </c:pt>
                <c:pt idx="94">
                  <c:v>-8.7524000045959838E-3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D1-44D8-B6DF-B99E65C8109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Active!$L$21:$L$115</c:f>
              <c:numCache>
                <c:formatCode>General</c:formatCode>
                <c:ptCount val="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D1-44D8-B6DF-B99E65C810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Active!$M$21:$M$115</c:f>
              <c:numCache>
                <c:formatCode>General</c:formatCode>
                <c:ptCount val="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D1-44D8-B6DF-B99E65C810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Active!$N$21:$N$115</c:f>
              <c:numCache>
                <c:formatCode>General</c:formatCode>
                <c:ptCount val="95"/>
                <c:pt idx="15">
                  <c:v>0.10105879999900935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D1-44D8-B6DF-B99E65C810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Active!$O$21:$O$115</c:f>
              <c:numCache>
                <c:formatCode>General</c:formatCode>
                <c:ptCount val="95"/>
                <c:pt idx="74">
                  <c:v>3.2407451642385551E-2</c:v>
                </c:pt>
                <c:pt idx="75">
                  <c:v>2.919338404367278E-2</c:v>
                </c:pt>
                <c:pt idx="76">
                  <c:v>2.6197043604872808E-2</c:v>
                </c:pt>
                <c:pt idx="77">
                  <c:v>2.2931136206180796E-2</c:v>
                </c:pt>
                <c:pt idx="78">
                  <c:v>2.0152522927293623E-2</c:v>
                </c:pt>
                <c:pt idx="79">
                  <c:v>2.0152522927293623E-2</c:v>
                </c:pt>
                <c:pt idx="80">
                  <c:v>2.0152522927293623E-2</c:v>
                </c:pt>
                <c:pt idx="81">
                  <c:v>2.0152522927293623E-2</c:v>
                </c:pt>
                <c:pt idx="82">
                  <c:v>1.6834775728622374E-2</c:v>
                </c:pt>
                <c:pt idx="83">
                  <c:v>1.6834775728622374E-2</c:v>
                </c:pt>
                <c:pt idx="84">
                  <c:v>1.6834775728622374E-2</c:v>
                </c:pt>
                <c:pt idx="85">
                  <c:v>1.6834775728622374E-2</c:v>
                </c:pt>
                <c:pt idx="86">
                  <c:v>1.6285273848842447E-2</c:v>
                </c:pt>
                <c:pt idx="87">
                  <c:v>1.6285273848842447E-2</c:v>
                </c:pt>
                <c:pt idx="88">
                  <c:v>9.971186211371226E-3</c:v>
                </c:pt>
                <c:pt idx="89">
                  <c:v>4.5487431335428999E-3</c:v>
                </c:pt>
                <c:pt idx="90">
                  <c:v>5.4671057514570076E-4</c:v>
                </c:pt>
                <c:pt idx="91">
                  <c:v>2.8751157524951193E-4</c:v>
                </c:pt>
                <c:pt idx="92">
                  <c:v>-2.6051492635919826E-3</c:v>
                </c:pt>
                <c:pt idx="93">
                  <c:v>-5.2489790625331392E-3</c:v>
                </c:pt>
                <c:pt idx="94">
                  <c:v>-8.6185660611836218E-3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D1-44D8-B6DF-B99E65C8109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Active!$U$21:$U$115</c:f>
              <c:numCache>
                <c:formatCode>General</c:formatCode>
                <c:ptCount val="95"/>
                <c:pt idx="47">
                  <c:v>0.10768819999793777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D1-44D8-B6DF-B99E65C8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134936"/>
        <c:axId val="1"/>
      </c:scatterChart>
      <c:valAx>
        <c:axId val="10261349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64214729569059"/>
              <c:y val="0.83233658666918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0513044843753508E-2"/>
              <c:y val="0.4041922454303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6134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25663458734324"/>
          <c:y val="0.84730664654942078"/>
          <c:w val="0.80983085447652359"/>
          <c:h val="0.119760793373882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0</xdr:row>
      <xdr:rowOff>0</xdr:rowOff>
    </xdr:from>
    <xdr:to>
      <xdr:col>25</xdr:col>
      <xdr:colOff>85725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AE7445B-1869-CD62-CFB0-4D7078E60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0</xdr:row>
      <xdr:rowOff>9525</xdr:rowOff>
    </xdr:from>
    <xdr:to>
      <xdr:col>15</xdr:col>
      <xdr:colOff>247650</xdr:colOff>
      <xdr:row>19</xdr:row>
      <xdr:rowOff>19050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6683A45-6AF3-42B7-4660-00B4B70E9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60.pdf" TargetMode="External"/><Relationship Id="rId12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aavso.org/sites/default/files/jaavso/v36n2/186.pdf" TargetMode="External"/><Relationship Id="rId1" Type="http://schemas.openxmlformats.org/officeDocument/2006/relationships/hyperlink" Target="http://www.konkoly.hu/cgi-bin/IBVS?5690" TargetMode="External"/><Relationship Id="rId6" Type="http://schemas.openxmlformats.org/officeDocument/2006/relationships/hyperlink" Target="http://var.astro.cz/oejv/issues/oejv0160.pdf" TargetMode="External"/><Relationship Id="rId11" Type="http://schemas.openxmlformats.org/officeDocument/2006/relationships/hyperlink" Target="http://www.konkoly.hu/cgi-bin/IBVS?344" TargetMode="External"/><Relationship Id="rId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0"/>
  <sheetViews>
    <sheetView tabSelected="1" workbookViewId="0">
      <pane xSplit="13" ySplit="22" topLeftCell="N105" activePane="bottomRight" state="frozen"/>
      <selection pane="topRight" activeCell="N1" sqref="N1"/>
      <selection pane="bottomLeft" activeCell="A23" sqref="A23"/>
      <selection pane="bottomRight" activeCell="F11" sqref="F10:F11"/>
    </sheetView>
  </sheetViews>
  <sheetFormatPr defaultColWidth="10.28515625" defaultRowHeight="12.75" x14ac:dyDescent="0.2"/>
  <cols>
    <col min="1" max="1" width="18.1406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3" t="s">
        <v>1</v>
      </c>
      <c r="F1" s="1" t="s">
        <v>2</v>
      </c>
    </row>
    <row r="2" spans="1:6" x14ac:dyDescent="0.2">
      <c r="A2" s="1" t="s">
        <v>3</v>
      </c>
      <c r="B2" s="1" t="s">
        <v>4</v>
      </c>
      <c r="C2" s="4"/>
      <c r="D2" s="4"/>
      <c r="E2" s="1">
        <v>0</v>
      </c>
    </row>
    <row r="4" spans="1:6" x14ac:dyDescent="0.2">
      <c r="A4" s="5" t="s">
        <v>5</v>
      </c>
      <c r="C4" s="6">
        <v>52501.120999999999</v>
      </c>
      <c r="D4" s="7">
        <v>1.1936019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  <c r="D6" s="10" t="s">
        <v>9</v>
      </c>
    </row>
    <row r="7" spans="1:6" x14ac:dyDescent="0.2">
      <c r="A7" s="1" t="s">
        <v>10</v>
      </c>
      <c r="C7" s="1">
        <v>52501.120999999999</v>
      </c>
    </row>
    <row r="8" spans="1:6" x14ac:dyDescent="0.2">
      <c r="A8" s="1" t="s">
        <v>11</v>
      </c>
      <c r="C8" s="1">
        <v>1.1936019</v>
      </c>
    </row>
    <row r="9" spans="1:6" x14ac:dyDescent="0.2">
      <c r="A9" s="11" t="s">
        <v>12</v>
      </c>
      <c r="B9" s="12">
        <v>109</v>
      </c>
      <c r="C9" s="13" t="str">
        <f>"F"&amp;B9</f>
        <v>F109</v>
      </c>
      <c r="D9" s="14" t="str">
        <f>"G"&amp;B9</f>
        <v>G109</v>
      </c>
    </row>
    <row r="10" spans="1:6" x14ac:dyDescent="0.2">
      <c r="A10"/>
      <c r="B10"/>
      <c r="C10" s="15" t="s">
        <v>13</v>
      </c>
      <c r="D10" s="15" t="s">
        <v>14</v>
      </c>
      <c r="E10"/>
    </row>
    <row r="11" spans="1:6" x14ac:dyDescent="0.2">
      <c r="A11" t="s">
        <v>15</v>
      </c>
      <c r="B11"/>
      <c r="C11" s="16">
        <f ca="1">INTERCEPT(INDIRECT($D$9):G989,INDIRECT($C$9):F989)</f>
        <v>4.7326946076410331E-2</v>
      </c>
      <c r="D11" s="4"/>
      <c r="E11"/>
    </row>
    <row r="12" spans="1:6" x14ac:dyDescent="0.2">
      <c r="A12" t="s">
        <v>16</v>
      </c>
      <c r="B12"/>
      <c r="C12" s="16">
        <f ca="1">SLOPE(INDIRECT($D$9):G989,INDIRECT($C$9):F989)</f>
        <v>-1.0367959995847657E-5</v>
      </c>
      <c r="D12" s="4"/>
      <c r="E12"/>
    </row>
    <row r="13" spans="1:6" x14ac:dyDescent="0.2">
      <c r="A13" t="s">
        <v>17</v>
      </c>
      <c r="B13"/>
      <c r="C13" s="4" t="s">
        <v>18</v>
      </c>
    </row>
    <row r="14" spans="1:6" x14ac:dyDescent="0.2">
      <c r="A14"/>
      <c r="B14"/>
      <c r="C14"/>
    </row>
    <row r="15" spans="1:6" x14ac:dyDescent="0.2">
      <c r="A15" s="17" t="s">
        <v>19</v>
      </c>
      <c r="B15"/>
      <c r="C15" s="18">
        <f ca="1">(C7+C11)+(C8+C12)*INT(MAX(F21:F3530))</f>
        <v>60074.506597739906</v>
      </c>
      <c r="E15" s="11" t="s">
        <v>20</v>
      </c>
      <c r="F15" s="9">
        <v>1</v>
      </c>
    </row>
    <row r="16" spans="1:6" x14ac:dyDescent="0.2">
      <c r="A16" s="17" t="s">
        <v>21</v>
      </c>
      <c r="B16"/>
      <c r="C16" s="18">
        <f ca="1">+C8+C12</f>
        <v>1.1935915320400041</v>
      </c>
      <c r="E16" s="11" t="s">
        <v>22</v>
      </c>
      <c r="F16" s="16">
        <f ca="1">NOW()+15018.5+$C$5/24</f>
        <v>60174.793351736109</v>
      </c>
    </row>
    <row r="17" spans="1:21" x14ac:dyDescent="0.2">
      <c r="A17" s="11" t="s">
        <v>23</v>
      </c>
      <c r="B17"/>
      <c r="C17">
        <f>COUNT(C21:C2188)</f>
        <v>100</v>
      </c>
      <c r="E17" s="11" t="s">
        <v>24</v>
      </c>
      <c r="F17" s="16">
        <f ca="1">ROUND(2*(F16-$C$7)/$C$8,0)/2+F15</f>
        <v>6430</v>
      </c>
    </row>
    <row r="18" spans="1:21" x14ac:dyDescent="0.2">
      <c r="A18" s="17" t="s">
        <v>25</v>
      </c>
      <c r="B18"/>
      <c r="C18" s="19">
        <f ca="1">+C15</f>
        <v>60074.506597739906</v>
      </c>
      <c r="D18" s="20">
        <f ca="1">+C16</f>
        <v>1.1935915320400041</v>
      </c>
      <c r="E18" s="11" t="s">
        <v>26</v>
      </c>
      <c r="F18" s="14">
        <f ca="1">ROUND(2*(F16-$C$15)/$C$16,0)/2+F15</f>
        <v>85</v>
      </c>
    </row>
    <row r="19" spans="1:21" x14ac:dyDescent="0.2">
      <c r="E19" s="11" t="s">
        <v>27</v>
      </c>
      <c r="F19" s="21">
        <f ca="1">+$C$15+$C$16*F18-15018.5-$C$5/24</f>
        <v>45157.857711296645</v>
      </c>
    </row>
    <row r="20" spans="1:21" x14ac:dyDescent="0.2">
      <c r="A20" s="15" t="s">
        <v>28</v>
      </c>
      <c r="B20" s="15" t="s">
        <v>29</v>
      </c>
      <c r="C20" s="15" t="s">
        <v>30</v>
      </c>
      <c r="D20" s="15" t="s">
        <v>31</v>
      </c>
      <c r="E20" s="15" t="s">
        <v>32</v>
      </c>
      <c r="F20" s="15" t="s">
        <v>33</v>
      </c>
      <c r="G20" s="15" t="s">
        <v>34</v>
      </c>
      <c r="H20" s="22" t="s">
        <v>35</v>
      </c>
      <c r="I20" s="22" t="s">
        <v>36</v>
      </c>
      <c r="J20" s="22" t="s">
        <v>37</v>
      </c>
      <c r="K20" s="22" t="s">
        <v>38</v>
      </c>
      <c r="L20" s="22" t="s">
        <v>39</v>
      </c>
      <c r="M20" s="22" t="s">
        <v>40</v>
      </c>
      <c r="N20" s="22" t="s">
        <v>41</v>
      </c>
      <c r="O20" s="22" t="s">
        <v>42</v>
      </c>
      <c r="P20" s="22" t="s">
        <v>43</v>
      </c>
      <c r="Q20" s="15" t="s">
        <v>44</v>
      </c>
      <c r="U20" s="23" t="s">
        <v>45</v>
      </c>
    </row>
    <row r="21" spans="1:21" x14ac:dyDescent="0.2">
      <c r="A21" s="24" t="s">
        <v>46</v>
      </c>
      <c r="B21" s="25" t="s">
        <v>47</v>
      </c>
      <c r="C21" s="26">
        <v>27551.396000000001</v>
      </c>
      <c r="D21" s="27"/>
      <c r="E21" s="1">
        <f t="shared" ref="E21:E52" si="0">+(C21-C$7)/C$8</f>
        <v>-20902.886464909279</v>
      </c>
      <c r="F21" s="1">
        <f t="shared" ref="F21:F52" si="1">ROUND(2*E21,0)/2</f>
        <v>-20903</v>
      </c>
      <c r="G21" s="1">
        <f t="shared" ref="G21:G67" si="2">+C21-(C$7+F21*C$8)</f>
        <v>0.13551569999981439</v>
      </c>
      <c r="H21" s="1">
        <f t="shared" ref="H21:H26" si="3">+G21</f>
        <v>0.13551569999981439</v>
      </c>
      <c r="Q21" s="58">
        <f t="shared" ref="Q21:Q52" si="4">+C21-15018.5</f>
        <v>12532.896000000001</v>
      </c>
    </row>
    <row r="22" spans="1:21" x14ac:dyDescent="0.2">
      <c r="A22" s="24" t="s">
        <v>46</v>
      </c>
      <c r="B22" s="25" t="s">
        <v>47</v>
      </c>
      <c r="C22" s="26">
        <v>27570.492999999999</v>
      </c>
      <c r="D22" s="27"/>
      <c r="E22" s="1">
        <f t="shared" si="0"/>
        <v>-20886.886993058575</v>
      </c>
      <c r="F22" s="1">
        <f t="shared" si="1"/>
        <v>-20887</v>
      </c>
      <c r="G22" s="1">
        <f t="shared" si="2"/>
        <v>0.13488529999813181</v>
      </c>
      <c r="H22" s="1">
        <f t="shared" si="3"/>
        <v>0.13488529999813181</v>
      </c>
      <c r="Q22" s="58">
        <f t="shared" si="4"/>
        <v>12551.992999999999</v>
      </c>
    </row>
    <row r="23" spans="1:21" x14ac:dyDescent="0.2">
      <c r="A23" s="24" t="s">
        <v>46</v>
      </c>
      <c r="B23" s="25" t="s">
        <v>47</v>
      </c>
      <c r="C23" s="26">
        <v>27927.368999999999</v>
      </c>
      <c r="D23" s="27"/>
      <c r="E23" s="1">
        <f t="shared" si="0"/>
        <v>-20587.89618213577</v>
      </c>
      <c r="F23" s="1">
        <f t="shared" si="1"/>
        <v>-20588</v>
      </c>
      <c r="G23" s="1">
        <f t="shared" si="2"/>
        <v>0.12391719999868656</v>
      </c>
      <c r="H23" s="1">
        <f t="shared" si="3"/>
        <v>0.12391719999868656</v>
      </c>
      <c r="Q23" s="58">
        <f t="shared" si="4"/>
        <v>12908.868999999999</v>
      </c>
    </row>
    <row r="24" spans="1:21" x14ac:dyDescent="0.2">
      <c r="A24" s="24" t="s">
        <v>46</v>
      </c>
      <c r="B24" s="25" t="s">
        <v>47</v>
      </c>
      <c r="C24" s="26">
        <v>28285.457999999999</v>
      </c>
      <c r="D24" s="27"/>
      <c r="E24" s="1">
        <f t="shared" si="0"/>
        <v>-20287.889119479452</v>
      </c>
      <c r="F24" s="1">
        <f t="shared" si="1"/>
        <v>-20288</v>
      </c>
      <c r="G24" s="1">
        <f t="shared" si="2"/>
        <v>0.13234720000036759</v>
      </c>
      <c r="H24" s="1">
        <f t="shared" si="3"/>
        <v>0.13234720000036759</v>
      </c>
      <c r="Q24" s="58">
        <f t="shared" si="4"/>
        <v>13266.957999999999</v>
      </c>
    </row>
    <row r="25" spans="1:21" x14ac:dyDescent="0.2">
      <c r="A25" s="24" t="s">
        <v>46</v>
      </c>
      <c r="B25" s="25" t="s">
        <v>47</v>
      </c>
      <c r="C25" s="26">
        <v>28346.329000000002</v>
      </c>
      <c r="D25" s="27"/>
      <c r="E25" s="1">
        <f t="shared" si="0"/>
        <v>-20236.891378943012</v>
      </c>
      <c r="F25" s="1">
        <f t="shared" si="1"/>
        <v>-20237</v>
      </c>
      <c r="G25" s="1">
        <f t="shared" si="2"/>
        <v>0.12965030000123079</v>
      </c>
      <c r="H25" s="1">
        <f t="shared" si="3"/>
        <v>0.12965030000123079</v>
      </c>
      <c r="Q25" s="58">
        <f t="shared" si="4"/>
        <v>13327.829000000002</v>
      </c>
    </row>
    <row r="26" spans="1:21" x14ac:dyDescent="0.2">
      <c r="A26" s="24" t="s">
        <v>48</v>
      </c>
      <c r="B26" s="25" t="s">
        <v>47</v>
      </c>
      <c r="C26" s="26">
        <v>30843.329000000002</v>
      </c>
      <c r="D26" s="27"/>
      <c r="E26" s="1">
        <f t="shared" si="0"/>
        <v>-18144.904092394623</v>
      </c>
      <c r="F26" s="1">
        <f t="shared" si="1"/>
        <v>-18145</v>
      </c>
      <c r="G26" s="1">
        <f t="shared" si="2"/>
        <v>0.11447550000229967</v>
      </c>
      <c r="H26" s="1">
        <f t="shared" si="3"/>
        <v>0.11447550000229967</v>
      </c>
      <c r="Q26" s="58">
        <f t="shared" si="4"/>
        <v>15824.829000000002</v>
      </c>
    </row>
    <row r="27" spans="1:21" x14ac:dyDescent="0.2">
      <c r="A27" s="24" t="s">
        <v>49</v>
      </c>
      <c r="B27" s="25" t="s">
        <v>47</v>
      </c>
      <c r="C27" s="26">
        <v>31231.26</v>
      </c>
      <c r="D27" s="27"/>
      <c r="E27" s="1">
        <f t="shared" si="0"/>
        <v>-17819.895393933271</v>
      </c>
      <c r="F27" s="1">
        <f t="shared" si="1"/>
        <v>-17820</v>
      </c>
      <c r="G27" s="1">
        <f t="shared" si="2"/>
        <v>0.12485799999922165</v>
      </c>
      <c r="I27" s="1">
        <f>+G27</f>
        <v>0.12485799999922165</v>
      </c>
      <c r="Q27" s="58">
        <f t="shared" si="4"/>
        <v>16212.759999999998</v>
      </c>
    </row>
    <row r="28" spans="1:21" x14ac:dyDescent="0.2">
      <c r="A28" s="24" t="s">
        <v>49</v>
      </c>
      <c r="B28" s="25" t="s">
        <v>47</v>
      </c>
      <c r="C28" s="26">
        <v>31256.313999999998</v>
      </c>
      <c r="D28" s="27"/>
      <c r="E28" s="1">
        <f t="shared" si="0"/>
        <v>-17798.905145844692</v>
      </c>
      <c r="F28" s="1">
        <f t="shared" si="1"/>
        <v>-17799</v>
      </c>
      <c r="G28" s="1">
        <f t="shared" si="2"/>
        <v>0.11321809999935795</v>
      </c>
      <c r="I28" s="1">
        <f>+G28</f>
        <v>0.11321809999935795</v>
      </c>
      <c r="Q28" s="58">
        <f t="shared" si="4"/>
        <v>16237.813999999998</v>
      </c>
    </row>
    <row r="29" spans="1:21" x14ac:dyDescent="0.2">
      <c r="A29" s="24" t="s">
        <v>49</v>
      </c>
      <c r="B29" s="25" t="s">
        <v>47</v>
      </c>
      <c r="C29" s="26">
        <v>31262.284</v>
      </c>
      <c r="D29" s="27"/>
      <c r="E29" s="1">
        <f t="shared" si="0"/>
        <v>-17793.903478203243</v>
      </c>
      <c r="F29" s="1">
        <f t="shared" si="1"/>
        <v>-17794</v>
      </c>
      <c r="G29" s="1">
        <f t="shared" si="2"/>
        <v>0.11520860000018729</v>
      </c>
      <c r="I29" s="1">
        <f>+G29</f>
        <v>0.11520860000018729</v>
      </c>
      <c r="Q29" s="58">
        <f t="shared" si="4"/>
        <v>16243.784</v>
      </c>
    </row>
    <row r="30" spans="1:21" x14ac:dyDescent="0.2">
      <c r="A30" s="24" t="s">
        <v>49</v>
      </c>
      <c r="B30" s="25" t="s">
        <v>47</v>
      </c>
      <c r="C30" s="26">
        <v>31268.246999999999</v>
      </c>
      <c r="D30" s="27"/>
      <c r="E30" s="1">
        <f t="shared" si="0"/>
        <v>-17788.907675163722</v>
      </c>
      <c r="F30" s="1">
        <f t="shared" si="1"/>
        <v>-17789</v>
      </c>
      <c r="G30" s="1">
        <f t="shared" si="2"/>
        <v>0.11019909999959054</v>
      </c>
      <c r="I30" s="1">
        <f>+G30</f>
        <v>0.11019909999959054</v>
      </c>
      <c r="Q30" s="58">
        <f t="shared" si="4"/>
        <v>16249.746999999999</v>
      </c>
    </row>
    <row r="31" spans="1:21" x14ac:dyDescent="0.2">
      <c r="A31" s="24" t="s">
        <v>46</v>
      </c>
      <c r="B31" s="25" t="s">
        <v>47</v>
      </c>
      <c r="C31" s="26">
        <v>32262.522000000001</v>
      </c>
      <c r="D31" s="27"/>
      <c r="E31" s="1">
        <f t="shared" si="0"/>
        <v>-16955.903806788509</v>
      </c>
      <c r="F31" s="1">
        <f t="shared" si="1"/>
        <v>-16956</v>
      </c>
      <c r="G31" s="1">
        <f t="shared" si="2"/>
        <v>0.11481640000056359</v>
      </c>
      <c r="H31" s="1">
        <f>+G31</f>
        <v>0.11481640000056359</v>
      </c>
      <c r="Q31" s="58">
        <f t="shared" si="4"/>
        <v>17244.022000000001</v>
      </c>
    </row>
    <row r="32" spans="1:21" x14ac:dyDescent="0.2">
      <c r="A32" s="24" t="s">
        <v>50</v>
      </c>
      <c r="B32" s="25" t="s">
        <v>47</v>
      </c>
      <c r="C32" s="26">
        <v>32344.873</v>
      </c>
      <c r="D32" s="27"/>
      <c r="E32" s="1">
        <f t="shared" si="0"/>
        <v>-16886.91011634616</v>
      </c>
      <c r="F32" s="1">
        <f t="shared" si="1"/>
        <v>-16887</v>
      </c>
      <c r="G32" s="1">
        <f t="shared" si="2"/>
        <v>0.10728530000051251</v>
      </c>
      <c r="I32" s="1">
        <f>+G32</f>
        <v>0.10728530000051251</v>
      </c>
      <c r="Q32" s="58">
        <f t="shared" si="4"/>
        <v>17326.373</v>
      </c>
    </row>
    <row r="33" spans="1:17" x14ac:dyDescent="0.2">
      <c r="A33" s="24" t="s">
        <v>48</v>
      </c>
      <c r="B33" s="25" t="s">
        <v>47</v>
      </c>
      <c r="C33" s="26">
        <v>32347.27</v>
      </c>
      <c r="D33" s="27"/>
      <c r="E33" s="1">
        <f t="shared" si="0"/>
        <v>-16884.901909087108</v>
      </c>
      <c r="F33" s="1">
        <f t="shared" si="1"/>
        <v>-16885</v>
      </c>
      <c r="G33" s="1">
        <f t="shared" si="2"/>
        <v>0.117081500000495</v>
      </c>
      <c r="H33" s="1">
        <f>+G33</f>
        <v>0.117081500000495</v>
      </c>
      <c r="Q33" s="58">
        <f t="shared" si="4"/>
        <v>17328.77</v>
      </c>
    </row>
    <row r="34" spans="1:17" x14ac:dyDescent="0.2">
      <c r="A34" s="24" t="s">
        <v>51</v>
      </c>
      <c r="B34" s="25" t="s">
        <v>47</v>
      </c>
      <c r="C34" s="26">
        <v>32674.315999999999</v>
      </c>
      <c r="D34" s="27"/>
      <c r="E34" s="1">
        <f t="shared" si="0"/>
        <v>-16610.902680366042</v>
      </c>
      <c r="F34" s="1">
        <f t="shared" si="1"/>
        <v>-16611</v>
      </c>
      <c r="G34" s="1">
        <f t="shared" si="2"/>
        <v>0.11616090000097756</v>
      </c>
      <c r="H34" s="1">
        <f>+G34</f>
        <v>0.11616090000097756</v>
      </c>
      <c r="Q34" s="58">
        <f t="shared" si="4"/>
        <v>17655.815999999999</v>
      </c>
    </row>
    <row r="35" spans="1:17" x14ac:dyDescent="0.2">
      <c r="A35" s="24" t="s">
        <v>52</v>
      </c>
      <c r="B35" s="25" t="s">
        <v>47</v>
      </c>
      <c r="C35" s="26">
        <v>33063.438000000002</v>
      </c>
      <c r="D35" s="27"/>
      <c r="E35" s="1">
        <f t="shared" si="0"/>
        <v>-16284.89616177722</v>
      </c>
      <c r="F35" s="1">
        <f t="shared" si="1"/>
        <v>-16285</v>
      </c>
      <c r="G35" s="1">
        <f t="shared" si="2"/>
        <v>0.1239415000018198</v>
      </c>
      <c r="H35" s="1">
        <f>+G35</f>
        <v>0.1239415000018198</v>
      </c>
      <c r="Q35" s="58">
        <f t="shared" si="4"/>
        <v>18044.938000000002</v>
      </c>
    </row>
    <row r="36" spans="1:17" x14ac:dyDescent="0.2">
      <c r="A36" s="24" t="s">
        <v>53</v>
      </c>
      <c r="B36" s="25" t="s">
        <v>47</v>
      </c>
      <c r="C36" s="26">
        <v>40025.695</v>
      </c>
      <c r="D36" s="27"/>
      <c r="E36" s="1">
        <f t="shared" si="0"/>
        <v>-10451.915332909573</v>
      </c>
      <c r="F36" s="1">
        <f t="shared" si="1"/>
        <v>-10452</v>
      </c>
      <c r="G36" s="1">
        <f t="shared" si="2"/>
        <v>0.10105879999900935</v>
      </c>
      <c r="N36" s="1">
        <f>+G36</f>
        <v>0.10105879999900935</v>
      </c>
      <c r="Q36" s="58">
        <f t="shared" si="4"/>
        <v>25007.195</v>
      </c>
    </row>
    <row r="37" spans="1:17" x14ac:dyDescent="0.2">
      <c r="A37" s="24" t="s">
        <v>54</v>
      </c>
      <c r="B37" s="25" t="s">
        <v>47</v>
      </c>
      <c r="C37" s="26">
        <v>42109.701999999997</v>
      </c>
      <c r="D37" s="27"/>
      <c r="E37" s="1">
        <f t="shared" si="0"/>
        <v>-8705.9336953133225</v>
      </c>
      <c r="F37" s="1">
        <f t="shared" si="1"/>
        <v>-8706</v>
      </c>
      <c r="G37" s="1">
        <f t="shared" si="2"/>
        <v>7.914139999775216E-2</v>
      </c>
      <c r="I37" s="1">
        <f t="shared" ref="I37:I67" si="5">+G37</f>
        <v>7.914139999775216E-2</v>
      </c>
      <c r="Q37" s="58">
        <f t="shared" si="4"/>
        <v>27091.201999999997</v>
      </c>
    </row>
    <row r="38" spans="1:17" x14ac:dyDescent="0.2">
      <c r="A38" s="24" t="s">
        <v>54</v>
      </c>
      <c r="B38" s="25" t="s">
        <v>47</v>
      </c>
      <c r="C38" s="26">
        <v>42127.616000000002</v>
      </c>
      <c r="D38" s="27"/>
      <c r="E38" s="1">
        <f t="shared" si="0"/>
        <v>-8690.9253411878763</v>
      </c>
      <c r="F38" s="1">
        <f t="shared" si="1"/>
        <v>-8691</v>
      </c>
      <c r="G38" s="1">
        <f t="shared" si="2"/>
        <v>8.9112900001055095E-2</v>
      </c>
      <c r="I38" s="1">
        <f t="shared" si="5"/>
        <v>8.9112900001055095E-2</v>
      </c>
      <c r="Q38" s="58">
        <f t="shared" si="4"/>
        <v>27109.116000000002</v>
      </c>
    </row>
    <row r="39" spans="1:17" x14ac:dyDescent="0.2">
      <c r="A39" s="24" t="s">
        <v>55</v>
      </c>
      <c r="B39" s="25" t="s">
        <v>47</v>
      </c>
      <c r="C39" s="26">
        <v>42194.451999999997</v>
      </c>
      <c r="D39" s="27"/>
      <c r="E39" s="1">
        <f t="shared" si="0"/>
        <v>-8634.9301220113684</v>
      </c>
      <c r="F39" s="1">
        <f t="shared" si="1"/>
        <v>-8635</v>
      </c>
      <c r="G39" s="1">
        <f t="shared" si="2"/>
        <v>8.3406500001729E-2</v>
      </c>
      <c r="I39" s="1">
        <f t="shared" si="5"/>
        <v>8.3406500001729E-2</v>
      </c>
      <c r="Q39" s="58">
        <f t="shared" si="4"/>
        <v>27175.951999999997</v>
      </c>
    </row>
    <row r="40" spans="1:17" x14ac:dyDescent="0.2">
      <c r="A40" s="24" t="s">
        <v>56</v>
      </c>
      <c r="B40" s="25" t="s">
        <v>47</v>
      </c>
      <c r="C40" s="26">
        <v>42405.718999999997</v>
      </c>
      <c r="D40" s="27"/>
      <c r="E40" s="1">
        <f t="shared" si="0"/>
        <v>-8457.9305713236572</v>
      </c>
      <c r="F40" s="1">
        <f t="shared" si="1"/>
        <v>-8458</v>
      </c>
      <c r="G40" s="1">
        <f t="shared" si="2"/>
        <v>8.2870199999888428E-2</v>
      </c>
      <c r="I40" s="1">
        <f t="shared" si="5"/>
        <v>8.2870199999888428E-2</v>
      </c>
      <c r="Q40" s="58">
        <f t="shared" si="4"/>
        <v>27387.218999999997</v>
      </c>
    </row>
    <row r="41" spans="1:17" x14ac:dyDescent="0.2">
      <c r="A41" s="24" t="s">
        <v>57</v>
      </c>
      <c r="B41" s="25" t="s">
        <v>47</v>
      </c>
      <c r="C41" s="26">
        <v>42460.62</v>
      </c>
      <c r="D41" s="27"/>
      <c r="E41" s="1">
        <f t="shared" si="0"/>
        <v>-8411.9344984286618</v>
      </c>
      <c r="F41" s="1">
        <f t="shared" si="1"/>
        <v>-8412</v>
      </c>
      <c r="G41" s="1">
        <f t="shared" si="2"/>
        <v>7.818280000356026E-2</v>
      </c>
      <c r="I41" s="1">
        <f t="shared" si="5"/>
        <v>7.818280000356026E-2</v>
      </c>
      <c r="Q41" s="58">
        <f t="shared" si="4"/>
        <v>27442.120000000003</v>
      </c>
    </row>
    <row r="42" spans="1:17" x14ac:dyDescent="0.2">
      <c r="A42" s="24" t="s">
        <v>57</v>
      </c>
      <c r="B42" s="25" t="s">
        <v>47</v>
      </c>
      <c r="C42" s="26">
        <v>42466.593999999997</v>
      </c>
      <c r="D42" s="27"/>
      <c r="E42" s="1">
        <f t="shared" si="0"/>
        <v>-8406.9294795861188</v>
      </c>
      <c r="F42" s="1">
        <f t="shared" si="1"/>
        <v>-8407</v>
      </c>
      <c r="G42" s="1">
        <f t="shared" si="2"/>
        <v>8.4173299997928552E-2</v>
      </c>
      <c r="I42" s="1">
        <f t="shared" si="5"/>
        <v>8.4173299997928552E-2</v>
      </c>
      <c r="Q42" s="58">
        <f t="shared" si="4"/>
        <v>27448.093999999997</v>
      </c>
    </row>
    <row r="43" spans="1:17" x14ac:dyDescent="0.2">
      <c r="A43" s="24" t="s">
        <v>57</v>
      </c>
      <c r="B43" s="25" t="s">
        <v>47</v>
      </c>
      <c r="C43" s="26">
        <v>42478.540999999997</v>
      </c>
      <c r="D43" s="27"/>
      <c r="E43" s="1">
        <f t="shared" si="0"/>
        <v>-8396.9202797012986</v>
      </c>
      <c r="F43" s="1">
        <f t="shared" si="1"/>
        <v>-8397</v>
      </c>
      <c r="G43" s="1">
        <f t="shared" si="2"/>
        <v>9.5154299997375347E-2</v>
      </c>
      <c r="I43" s="1">
        <f t="shared" si="5"/>
        <v>9.5154299997375347E-2</v>
      </c>
      <c r="Q43" s="58">
        <f t="shared" si="4"/>
        <v>27460.040999999997</v>
      </c>
    </row>
    <row r="44" spans="1:17" x14ac:dyDescent="0.2">
      <c r="A44" s="24" t="s">
        <v>58</v>
      </c>
      <c r="B44" s="25" t="s">
        <v>47</v>
      </c>
      <c r="C44" s="26">
        <v>42509.574000000001</v>
      </c>
      <c r="D44" s="27"/>
      <c r="E44" s="1">
        <f t="shared" si="0"/>
        <v>-8370.9208237687944</v>
      </c>
      <c r="F44" s="1">
        <f t="shared" si="1"/>
        <v>-8371</v>
      </c>
      <c r="G44" s="1">
        <f t="shared" si="2"/>
        <v>9.450490000017453E-2</v>
      </c>
      <c r="I44" s="1">
        <f t="shared" si="5"/>
        <v>9.450490000017453E-2</v>
      </c>
      <c r="Q44" s="58">
        <f t="shared" si="4"/>
        <v>27491.074000000001</v>
      </c>
    </row>
    <row r="45" spans="1:17" x14ac:dyDescent="0.2">
      <c r="A45" s="24" t="s">
        <v>58</v>
      </c>
      <c r="B45" s="25" t="s">
        <v>47</v>
      </c>
      <c r="C45" s="26">
        <v>42521.508999999998</v>
      </c>
      <c r="D45" s="27"/>
      <c r="E45" s="1">
        <f t="shared" si="0"/>
        <v>-8360.9216774872766</v>
      </c>
      <c r="F45" s="1">
        <f t="shared" si="1"/>
        <v>-8361</v>
      </c>
      <c r="G45" s="1">
        <f t="shared" si="2"/>
        <v>9.3485899997176602E-2</v>
      </c>
      <c r="I45" s="1">
        <f t="shared" si="5"/>
        <v>9.3485899997176602E-2</v>
      </c>
      <c r="Q45" s="58">
        <f t="shared" si="4"/>
        <v>27503.008999999998</v>
      </c>
    </row>
    <row r="46" spans="1:17" x14ac:dyDescent="0.2">
      <c r="A46" s="24" t="s">
        <v>58</v>
      </c>
      <c r="B46" s="25" t="s">
        <v>47</v>
      </c>
      <c r="C46" s="26">
        <v>42545.370999999999</v>
      </c>
      <c r="D46" s="27"/>
      <c r="E46" s="1">
        <f t="shared" si="0"/>
        <v>-8340.9300873264365</v>
      </c>
      <c r="F46" s="1">
        <f t="shared" si="1"/>
        <v>-8341</v>
      </c>
      <c r="G46" s="1">
        <f t="shared" si="2"/>
        <v>8.3447900004102848E-2</v>
      </c>
      <c r="I46" s="1">
        <f t="shared" si="5"/>
        <v>8.3447900004102848E-2</v>
      </c>
      <c r="Q46" s="58">
        <f t="shared" si="4"/>
        <v>27526.870999999999</v>
      </c>
    </row>
    <row r="47" spans="1:17" x14ac:dyDescent="0.2">
      <c r="A47" s="24" t="s">
        <v>59</v>
      </c>
      <c r="B47" s="25" t="s">
        <v>47</v>
      </c>
      <c r="C47" s="26">
        <v>42570.442000000003</v>
      </c>
      <c r="D47" s="27"/>
      <c r="E47" s="1">
        <f t="shared" si="0"/>
        <v>-8319.9255966331802</v>
      </c>
      <c r="F47" s="1">
        <f t="shared" si="1"/>
        <v>-8320</v>
      </c>
      <c r="G47" s="1">
        <f t="shared" si="2"/>
        <v>8.8808000007702503E-2</v>
      </c>
      <c r="I47" s="1">
        <f t="shared" si="5"/>
        <v>8.8808000007702503E-2</v>
      </c>
      <c r="Q47" s="58">
        <f t="shared" si="4"/>
        <v>27551.942000000003</v>
      </c>
    </row>
    <row r="48" spans="1:17" x14ac:dyDescent="0.2">
      <c r="A48" s="24" t="s">
        <v>59</v>
      </c>
      <c r="B48" s="25" t="s">
        <v>47</v>
      </c>
      <c r="C48" s="26">
        <v>42576.408000000003</v>
      </c>
      <c r="D48" s="27"/>
      <c r="E48" s="1">
        <f t="shared" si="0"/>
        <v>-8314.9272801928309</v>
      </c>
      <c r="F48" s="1">
        <f t="shared" si="1"/>
        <v>-8315</v>
      </c>
      <c r="G48" s="1">
        <f t="shared" si="2"/>
        <v>8.6798500000440981E-2</v>
      </c>
      <c r="I48" s="1">
        <f t="shared" si="5"/>
        <v>8.6798500000440981E-2</v>
      </c>
      <c r="Q48" s="58">
        <f t="shared" si="4"/>
        <v>27557.908000000003</v>
      </c>
    </row>
    <row r="49" spans="1:17" x14ac:dyDescent="0.2">
      <c r="A49" s="24" t="s">
        <v>59</v>
      </c>
      <c r="B49" s="25" t="s">
        <v>47</v>
      </c>
      <c r="C49" s="26">
        <v>42576.408000000003</v>
      </c>
      <c r="D49" s="27"/>
      <c r="E49" s="1">
        <f t="shared" si="0"/>
        <v>-8314.9272801928309</v>
      </c>
      <c r="F49" s="1">
        <f t="shared" si="1"/>
        <v>-8315</v>
      </c>
      <c r="G49" s="1">
        <f t="shared" si="2"/>
        <v>8.6798500000440981E-2</v>
      </c>
      <c r="I49" s="1">
        <f t="shared" si="5"/>
        <v>8.6798500000440981E-2</v>
      </c>
      <c r="Q49" s="58">
        <f t="shared" si="4"/>
        <v>27557.908000000003</v>
      </c>
    </row>
    <row r="50" spans="1:17" x14ac:dyDescent="0.2">
      <c r="A50" s="24" t="s">
        <v>60</v>
      </c>
      <c r="B50" s="25" t="s">
        <v>47</v>
      </c>
      <c r="C50" s="26">
        <v>42787.669000000002</v>
      </c>
      <c r="D50" s="27"/>
      <c r="E50" s="1">
        <f t="shared" si="0"/>
        <v>-8137.93275630677</v>
      </c>
      <c r="F50" s="1">
        <f t="shared" si="1"/>
        <v>-8138</v>
      </c>
      <c r="G50" s="1">
        <f t="shared" si="2"/>
        <v>8.0262200004654005E-2</v>
      </c>
      <c r="I50" s="1">
        <f t="shared" si="5"/>
        <v>8.0262200004654005E-2</v>
      </c>
      <c r="Q50" s="58">
        <f t="shared" si="4"/>
        <v>27769.169000000002</v>
      </c>
    </row>
    <row r="51" spans="1:17" x14ac:dyDescent="0.2">
      <c r="A51" s="24" t="s">
        <v>61</v>
      </c>
      <c r="B51" s="25" t="s">
        <v>47</v>
      </c>
      <c r="C51" s="26">
        <v>42866.45</v>
      </c>
      <c r="D51" s="27"/>
      <c r="E51" s="1">
        <f t="shared" si="0"/>
        <v>-8071.9300128459936</v>
      </c>
      <c r="F51" s="1">
        <f t="shared" si="1"/>
        <v>-8072</v>
      </c>
      <c r="G51" s="1">
        <f t="shared" si="2"/>
        <v>8.3536799997091293E-2</v>
      </c>
      <c r="I51" s="1">
        <f t="shared" si="5"/>
        <v>8.3536799997091293E-2</v>
      </c>
      <c r="Q51" s="58">
        <f t="shared" si="4"/>
        <v>27847.949999999997</v>
      </c>
    </row>
    <row r="52" spans="1:17" x14ac:dyDescent="0.2">
      <c r="A52" s="24" t="s">
        <v>61</v>
      </c>
      <c r="B52" s="25" t="s">
        <v>47</v>
      </c>
      <c r="C52" s="26">
        <v>42866.466</v>
      </c>
      <c r="D52" s="27"/>
      <c r="E52" s="1">
        <f t="shared" si="0"/>
        <v>-8071.9166080415916</v>
      </c>
      <c r="F52" s="1">
        <f t="shared" si="1"/>
        <v>-8072</v>
      </c>
      <c r="G52" s="1">
        <f t="shared" si="2"/>
        <v>9.9536800000350922E-2</v>
      </c>
      <c r="I52" s="1">
        <f t="shared" si="5"/>
        <v>9.9536800000350922E-2</v>
      </c>
      <c r="Q52" s="58">
        <f t="shared" si="4"/>
        <v>27847.966</v>
      </c>
    </row>
    <row r="53" spans="1:17" x14ac:dyDescent="0.2">
      <c r="A53" s="24" t="s">
        <v>62</v>
      </c>
      <c r="B53" s="25" t="s">
        <v>47</v>
      </c>
      <c r="C53" s="26">
        <v>42915.392</v>
      </c>
      <c r="D53" s="27"/>
      <c r="E53" s="1">
        <f t="shared" ref="E53:E84" si="6">+(C53-C$7)/C$8</f>
        <v>-8030.9263917894232</v>
      </c>
      <c r="F53" s="1">
        <f t="shared" ref="F53:F84" si="7">ROUND(2*E53,0)/2</f>
        <v>-8031</v>
      </c>
      <c r="G53" s="1">
        <f t="shared" si="2"/>
        <v>8.7858899998536799E-2</v>
      </c>
      <c r="I53" s="1">
        <f t="shared" si="5"/>
        <v>8.7858899998536799E-2</v>
      </c>
      <c r="Q53" s="58">
        <f t="shared" ref="Q53:Q84" si="8">+C53-15018.5</f>
        <v>27896.892</v>
      </c>
    </row>
    <row r="54" spans="1:17" x14ac:dyDescent="0.2">
      <c r="A54" s="24" t="s">
        <v>63</v>
      </c>
      <c r="B54" s="25" t="s">
        <v>47</v>
      </c>
      <c r="C54" s="26">
        <v>43157.686999999998</v>
      </c>
      <c r="D54" s="27"/>
      <c r="E54" s="1">
        <f t="shared" si="6"/>
        <v>-7827.931574170585</v>
      </c>
      <c r="F54" s="1">
        <f t="shared" si="7"/>
        <v>-7828</v>
      </c>
      <c r="G54" s="1">
        <f t="shared" si="2"/>
        <v>8.1673200002114754E-2</v>
      </c>
      <c r="I54" s="1">
        <f t="shared" si="5"/>
        <v>8.1673200002114754E-2</v>
      </c>
      <c r="Q54" s="58">
        <f t="shared" si="8"/>
        <v>28139.186999999998</v>
      </c>
    </row>
    <row r="55" spans="1:17" x14ac:dyDescent="0.2">
      <c r="A55" s="24" t="s">
        <v>64</v>
      </c>
      <c r="B55" s="25" t="s">
        <v>47</v>
      </c>
      <c r="C55" s="26">
        <v>43262.724000000002</v>
      </c>
      <c r="D55" s="27"/>
      <c r="E55" s="1">
        <f t="shared" si="6"/>
        <v>-7739.9315466907328</v>
      </c>
      <c r="F55" s="1">
        <f t="shared" si="7"/>
        <v>-7740</v>
      </c>
      <c r="G55" s="1">
        <f t="shared" si="2"/>
        <v>8.1706000004487578E-2</v>
      </c>
      <c r="I55" s="1">
        <f t="shared" si="5"/>
        <v>8.1706000004487578E-2</v>
      </c>
      <c r="Q55" s="58">
        <f t="shared" si="8"/>
        <v>28244.224000000002</v>
      </c>
    </row>
    <row r="56" spans="1:17" x14ac:dyDescent="0.2">
      <c r="A56" s="24" t="s">
        <v>65</v>
      </c>
      <c r="B56" s="25" t="s">
        <v>47</v>
      </c>
      <c r="C56" s="26">
        <v>43655.411999999997</v>
      </c>
      <c r="D56" s="27"/>
      <c r="E56" s="1">
        <f t="shared" si="6"/>
        <v>-7410.9374323214488</v>
      </c>
      <c r="F56" s="1">
        <f t="shared" si="7"/>
        <v>-7411</v>
      </c>
      <c r="G56" s="1">
        <f t="shared" si="2"/>
        <v>7.4680899997474626E-2</v>
      </c>
      <c r="I56" s="1">
        <f t="shared" si="5"/>
        <v>7.4680899997474626E-2</v>
      </c>
      <c r="Q56" s="58">
        <f t="shared" si="8"/>
        <v>28636.911999999997</v>
      </c>
    </row>
    <row r="57" spans="1:17" x14ac:dyDescent="0.2">
      <c r="A57" s="24" t="s">
        <v>66</v>
      </c>
      <c r="B57" s="25" t="s">
        <v>47</v>
      </c>
      <c r="C57" s="26">
        <v>43988.436000000002</v>
      </c>
      <c r="D57" s="27"/>
      <c r="E57" s="1">
        <f t="shared" si="6"/>
        <v>-7131.929833556731</v>
      </c>
      <c r="F57" s="1">
        <f t="shared" si="7"/>
        <v>-7132</v>
      </c>
      <c r="G57" s="1">
        <f t="shared" si="2"/>
        <v>8.3750800004054327E-2</v>
      </c>
      <c r="I57" s="1">
        <f t="shared" si="5"/>
        <v>8.3750800004054327E-2</v>
      </c>
      <c r="Q57" s="58">
        <f t="shared" si="8"/>
        <v>28969.936000000002</v>
      </c>
    </row>
    <row r="58" spans="1:17" x14ac:dyDescent="0.2">
      <c r="A58" s="24" t="s">
        <v>67</v>
      </c>
      <c r="B58" s="25" t="s">
        <v>47</v>
      </c>
      <c r="C58" s="26">
        <v>44395.444000000003</v>
      </c>
      <c r="D58" s="27"/>
      <c r="E58" s="1">
        <f t="shared" si="6"/>
        <v>-6790.9384192501675</v>
      </c>
      <c r="F58" s="1">
        <f t="shared" si="7"/>
        <v>-6791</v>
      </c>
      <c r="G58" s="1">
        <f t="shared" si="2"/>
        <v>7.3502900006133132E-2</v>
      </c>
      <c r="I58" s="1">
        <f t="shared" si="5"/>
        <v>7.3502900006133132E-2</v>
      </c>
      <c r="Q58" s="58">
        <f t="shared" si="8"/>
        <v>29376.944000000003</v>
      </c>
    </row>
    <row r="59" spans="1:17" x14ac:dyDescent="0.2">
      <c r="A59" s="24" t="s">
        <v>64</v>
      </c>
      <c r="B59" s="25" t="s">
        <v>47</v>
      </c>
      <c r="C59" s="26">
        <v>44766.665000000001</v>
      </c>
      <c r="D59" s="27"/>
      <c r="E59" s="1">
        <f t="shared" si="6"/>
        <v>-6479.9293633832167</v>
      </c>
      <c r="F59" s="1">
        <f t="shared" si="7"/>
        <v>-6480</v>
      </c>
      <c r="G59" s="1">
        <f t="shared" si="2"/>
        <v>8.4311999999044929E-2</v>
      </c>
      <c r="I59" s="1">
        <f t="shared" si="5"/>
        <v>8.4311999999044929E-2</v>
      </c>
      <c r="Q59" s="58">
        <f t="shared" si="8"/>
        <v>29748.165000000001</v>
      </c>
    </row>
    <row r="60" spans="1:17" x14ac:dyDescent="0.2">
      <c r="A60" s="24" t="s">
        <v>68</v>
      </c>
      <c r="B60" s="25" t="s">
        <v>47</v>
      </c>
      <c r="C60" s="26">
        <v>45092.514000000003</v>
      </c>
      <c r="D60" s="27"/>
      <c r="E60" s="1">
        <f t="shared" si="6"/>
        <v>-6206.9329815912624</v>
      </c>
      <c r="F60" s="1">
        <f t="shared" si="7"/>
        <v>-6207</v>
      </c>
      <c r="G60" s="1">
        <f t="shared" si="2"/>
        <v>7.9993300001660828E-2</v>
      </c>
      <c r="I60" s="1">
        <f t="shared" si="5"/>
        <v>7.9993300001660828E-2</v>
      </c>
      <c r="Q60" s="58">
        <f t="shared" si="8"/>
        <v>30074.014000000003</v>
      </c>
    </row>
    <row r="61" spans="1:17" x14ac:dyDescent="0.2">
      <c r="A61" s="24" t="s">
        <v>68</v>
      </c>
      <c r="B61" s="25" t="s">
        <v>47</v>
      </c>
      <c r="C61" s="26">
        <v>45104.44</v>
      </c>
      <c r="D61" s="27"/>
      <c r="E61" s="1">
        <f t="shared" si="6"/>
        <v>-6196.9413755122177</v>
      </c>
      <c r="F61" s="1">
        <f t="shared" si="7"/>
        <v>-6197</v>
      </c>
      <c r="G61" s="1">
        <f t="shared" si="2"/>
        <v>6.9974300000467338E-2</v>
      </c>
      <c r="I61" s="1">
        <f t="shared" si="5"/>
        <v>6.9974300000467338E-2</v>
      </c>
      <c r="Q61" s="58">
        <f t="shared" si="8"/>
        <v>30085.940000000002</v>
      </c>
    </row>
    <row r="62" spans="1:17" x14ac:dyDescent="0.2">
      <c r="A62" s="24" t="s">
        <v>68</v>
      </c>
      <c r="B62" s="25" t="s">
        <v>47</v>
      </c>
      <c r="C62" s="26">
        <v>45116.379000000001</v>
      </c>
      <c r="D62" s="27"/>
      <c r="E62" s="1">
        <f t="shared" si="6"/>
        <v>-6186.9388780295994</v>
      </c>
      <c r="F62" s="1">
        <f t="shared" si="7"/>
        <v>-6187</v>
      </c>
      <c r="G62" s="1">
        <f t="shared" si="2"/>
        <v>7.2955299998284318E-2</v>
      </c>
      <c r="I62" s="1">
        <f t="shared" si="5"/>
        <v>7.2955299998284318E-2</v>
      </c>
      <c r="Q62" s="58">
        <f t="shared" si="8"/>
        <v>30097.879000000001</v>
      </c>
    </row>
    <row r="63" spans="1:17" x14ac:dyDescent="0.2">
      <c r="A63" s="24" t="s">
        <v>69</v>
      </c>
      <c r="B63" s="25" t="s">
        <v>47</v>
      </c>
      <c r="C63" s="26">
        <v>45431.476000000002</v>
      </c>
      <c r="D63" s="27"/>
      <c r="E63" s="1">
        <f t="shared" si="6"/>
        <v>-5922.9505247939005</v>
      </c>
      <c r="F63" s="1">
        <f t="shared" si="7"/>
        <v>-5923</v>
      </c>
      <c r="G63" s="1">
        <f t="shared" si="2"/>
        <v>5.9053700002550613E-2</v>
      </c>
      <c r="I63" s="1">
        <f t="shared" si="5"/>
        <v>5.9053700002550613E-2</v>
      </c>
      <c r="Q63" s="58">
        <f t="shared" si="8"/>
        <v>30412.976000000002</v>
      </c>
    </row>
    <row r="64" spans="1:17" x14ac:dyDescent="0.2">
      <c r="A64" s="24" t="s">
        <v>69</v>
      </c>
      <c r="B64" s="25" t="s">
        <v>47</v>
      </c>
      <c r="C64" s="26">
        <v>45437.46</v>
      </c>
      <c r="D64" s="27"/>
      <c r="E64" s="1">
        <f t="shared" si="6"/>
        <v>-5917.9371279486068</v>
      </c>
      <c r="F64" s="1">
        <f t="shared" si="7"/>
        <v>-5918</v>
      </c>
      <c r="G64" s="1">
        <f t="shared" si="2"/>
        <v>7.5044199998956174E-2</v>
      </c>
      <c r="I64" s="1">
        <f t="shared" si="5"/>
        <v>7.5044199998956174E-2</v>
      </c>
      <c r="Q64" s="58">
        <f t="shared" si="8"/>
        <v>30418.959999999999</v>
      </c>
    </row>
    <row r="65" spans="1:21" x14ac:dyDescent="0.2">
      <c r="A65" s="24" t="s">
        <v>64</v>
      </c>
      <c r="B65" s="25" t="s">
        <v>47</v>
      </c>
      <c r="C65" s="26">
        <v>45463.71</v>
      </c>
      <c r="D65" s="27"/>
      <c r="E65" s="1">
        <f t="shared" si="6"/>
        <v>-5895.9448707311876</v>
      </c>
      <c r="F65" s="1">
        <f t="shared" si="7"/>
        <v>-5896</v>
      </c>
      <c r="G65" s="1">
        <f t="shared" si="2"/>
        <v>6.5802400000393391E-2</v>
      </c>
      <c r="I65" s="1">
        <f t="shared" si="5"/>
        <v>6.5802400000393391E-2</v>
      </c>
      <c r="Q65" s="58">
        <f t="shared" si="8"/>
        <v>30445.21</v>
      </c>
    </row>
    <row r="66" spans="1:21" x14ac:dyDescent="0.2">
      <c r="A66" s="24" t="s">
        <v>69</v>
      </c>
      <c r="B66" s="25" t="s">
        <v>47</v>
      </c>
      <c r="C66" s="26">
        <v>45474.455000000002</v>
      </c>
      <c r="D66" s="27"/>
      <c r="E66" s="1">
        <f t="shared" si="6"/>
        <v>-5886.9427067768556</v>
      </c>
      <c r="F66" s="1">
        <f t="shared" si="7"/>
        <v>-5887</v>
      </c>
      <c r="G66" s="1">
        <f t="shared" si="2"/>
        <v>6.8385300000954885E-2</v>
      </c>
      <c r="I66" s="1">
        <f t="shared" si="5"/>
        <v>6.8385300000954885E-2</v>
      </c>
      <c r="Q66" s="58">
        <f t="shared" si="8"/>
        <v>30455.955000000002</v>
      </c>
    </row>
    <row r="67" spans="1:21" x14ac:dyDescent="0.2">
      <c r="A67" s="24" t="s">
        <v>64</v>
      </c>
      <c r="B67" s="25" t="s">
        <v>47</v>
      </c>
      <c r="C67" s="26">
        <v>45876.703999999998</v>
      </c>
      <c r="D67" s="27"/>
      <c r="E67" s="1">
        <f t="shared" si="6"/>
        <v>-5549.9383839787797</v>
      </c>
      <c r="F67" s="1">
        <f t="shared" si="7"/>
        <v>-5550</v>
      </c>
      <c r="G67" s="1">
        <f t="shared" si="2"/>
        <v>7.354499999928521E-2</v>
      </c>
      <c r="I67" s="1">
        <f t="shared" si="5"/>
        <v>7.354499999928521E-2</v>
      </c>
      <c r="Q67" s="58">
        <f t="shared" si="8"/>
        <v>30858.203999999998</v>
      </c>
    </row>
    <row r="68" spans="1:21" x14ac:dyDescent="0.2">
      <c r="A68" s="24" t="s">
        <v>70</v>
      </c>
      <c r="B68" s="25" t="s">
        <v>47</v>
      </c>
      <c r="C68" s="26">
        <v>46917.559000000001</v>
      </c>
      <c r="D68" s="27"/>
      <c r="E68" s="1">
        <f t="shared" si="6"/>
        <v>-4677.9097787964292</v>
      </c>
      <c r="F68" s="1">
        <f t="shared" si="7"/>
        <v>-4678</v>
      </c>
      <c r="Q68" s="58">
        <f t="shared" si="8"/>
        <v>31899.059000000001</v>
      </c>
      <c r="U68" s="1">
        <f>+C68-(C$7+F68*C$8)</f>
        <v>0.10768819999793777</v>
      </c>
    </row>
    <row r="69" spans="1:21" x14ac:dyDescent="0.2">
      <c r="A69" s="24" t="s">
        <v>64</v>
      </c>
      <c r="B69" s="25" t="s">
        <v>47</v>
      </c>
      <c r="C69" s="26">
        <v>46924.67</v>
      </c>
      <c r="D69" s="27"/>
      <c r="E69" s="1">
        <f t="shared" si="6"/>
        <v>-4671.952181041268</v>
      </c>
      <c r="F69" s="1">
        <f t="shared" si="7"/>
        <v>-4672</v>
      </c>
      <c r="G69" s="1">
        <f t="shared" ref="G69:G100" si="9">+C69-(C$7+F69*C$8)</f>
        <v>5.7076799996139016E-2</v>
      </c>
      <c r="I69" s="1">
        <f t="shared" ref="I69:I84" si="10">+G69</f>
        <v>5.7076799996139016E-2</v>
      </c>
      <c r="Q69" s="58">
        <f t="shared" si="8"/>
        <v>31906.17</v>
      </c>
    </row>
    <row r="70" spans="1:21" x14ac:dyDescent="0.2">
      <c r="A70" s="24" t="s">
        <v>71</v>
      </c>
      <c r="B70" s="25" t="s">
        <v>47</v>
      </c>
      <c r="C70" s="26">
        <v>47262.449000000001</v>
      </c>
      <c r="D70" s="27"/>
      <c r="E70" s="1">
        <f t="shared" si="6"/>
        <v>-4388.9608419691676</v>
      </c>
      <c r="F70" s="1">
        <f t="shared" si="7"/>
        <v>-4389</v>
      </c>
      <c r="G70" s="1">
        <f t="shared" si="9"/>
        <v>4.6739099998376332E-2</v>
      </c>
      <c r="I70" s="1">
        <f t="shared" si="10"/>
        <v>4.6739099998376332E-2</v>
      </c>
      <c r="Q70" s="58">
        <f t="shared" si="8"/>
        <v>32243.949000000001</v>
      </c>
    </row>
    <row r="71" spans="1:21" x14ac:dyDescent="0.2">
      <c r="A71" s="24" t="s">
        <v>72</v>
      </c>
      <c r="B71" s="25" t="s">
        <v>47</v>
      </c>
      <c r="C71" s="26">
        <v>48008.445</v>
      </c>
      <c r="D71" s="27"/>
      <c r="E71" s="1">
        <f t="shared" si="6"/>
        <v>-3763.965188058095</v>
      </c>
      <c r="F71" s="1">
        <f t="shared" si="7"/>
        <v>-3764</v>
      </c>
      <c r="G71" s="1">
        <f t="shared" si="9"/>
        <v>4.1551599999365862E-2</v>
      </c>
      <c r="I71" s="1">
        <f t="shared" si="10"/>
        <v>4.1551599999365862E-2</v>
      </c>
      <c r="Q71" s="58">
        <f t="shared" si="8"/>
        <v>32989.945</v>
      </c>
    </row>
    <row r="72" spans="1:21" x14ac:dyDescent="0.2">
      <c r="A72" s="24" t="s">
        <v>73</v>
      </c>
      <c r="B72" s="25" t="s">
        <v>47</v>
      </c>
      <c r="C72" s="26">
        <v>48311.618999999999</v>
      </c>
      <c r="D72" s="27"/>
      <c r="E72" s="1">
        <f t="shared" si="6"/>
        <v>-3509.9659275006184</v>
      </c>
      <c r="F72" s="1">
        <f t="shared" si="7"/>
        <v>-3510</v>
      </c>
      <c r="G72" s="1">
        <f t="shared" si="9"/>
        <v>4.066900000179885E-2</v>
      </c>
      <c r="I72" s="1">
        <f t="shared" si="10"/>
        <v>4.066900000179885E-2</v>
      </c>
      <c r="Q72" s="58">
        <f t="shared" si="8"/>
        <v>33293.118999999999</v>
      </c>
    </row>
    <row r="73" spans="1:21" x14ac:dyDescent="0.2">
      <c r="A73" s="24" t="s">
        <v>74</v>
      </c>
      <c r="B73" s="25" t="s">
        <v>47</v>
      </c>
      <c r="C73" s="26">
        <v>49075.517999999996</v>
      </c>
      <c r="D73" s="27"/>
      <c r="E73" s="1">
        <f t="shared" si="6"/>
        <v>-2869.9711352671297</v>
      </c>
      <c r="F73" s="1">
        <f t="shared" si="7"/>
        <v>-2870</v>
      </c>
      <c r="G73" s="1">
        <f t="shared" si="9"/>
        <v>3.4453000000212342E-2</v>
      </c>
      <c r="I73" s="1">
        <f t="shared" si="10"/>
        <v>3.4453000000212342E-2</v>
      </c>
      <c r="Q73" s="58">
        <f t="shared" si="8"/>
        <v>34057.017999999996</v>
      </c>
    </row>
    <row r="74" spans="1:21" x14ac:dyDescent="0.2">
      <c r="A74" s="24" t="s">
        <v>75</v>
      </c>
      <c r="B74" s="25" t="s">
        <v>47</v>
      </c>
      <c r="C74" s="26">
        <v>49451.502999999997</v>
      </c>
      <c r="D74" s="27"/>
      <c r="E74" s="1">
        <f t="shared" si="6"/>
        <v>-2554.9707988903187</v>
      </c>
      <c r="F74" s="1">
        <f t="shared" si="7"/>
        <v>-2555</v>
      </c>
      <c r="G74" s="1">
        <f t="shared" si="9"/>
        <v>3.4854500001529232E-2</v>
      </c>
      <c r="I74" s="1">
        <f t="shared" si="10"/>
        <v>3.4854500001529232E-2</v>
      </c>
      <c r="Q74" s="58">
        <f t="shared" si="8"/>
        <v>34433.002999999997</v>
      </c>
    </row>
    <row r="75" spans="1:21" x14ac:dyDescent="0.2">
      <c r="A75" s="24" t="s">
        <v>76</v>
      </c>
      <c r="B75" s="25" t="s">
        <v>47</v>
      </c>
      <c r="C75" s="26">
        <v>49748.701999999997</v>
      </c>
      <c r="D75" s="27"/>
      <c r="E75" s="1">
        <f t="shared" si="6"/>
        <v>-2305.9773949756627</v>
      </c>
      <c r="F75" s="1">
        <f t="shared" si="7"/>
        <v>-2306</v>
      </c>
      <c r="G75" s="1">
        <f t="shared" si="9"/>
        <v>2.6981399998476263E-2</v>
      </c>
      <c r="I75" s="1">
        <f t="shared" si="10"/>
        <v>2.6981399998476263E-2</v>
      </c>
      <c r="Q75" s="58">
        <f t="shared" si="8"/>
        <v>34730.201999999997</v>
      </c>
    </row>
    <row r="76" spans="1:21" x14ac:dyDescent="0.2">
      <c r="A76" s="24" t="s">
        <v>77</v>
      </c>
      <c r="B76" s="25" t="s">
        <v>47</v>
      </c>
      <c r="C76" s="26">
        <v>50252.400999999998</v>
      </c>
      <c r="D76" s="27"/>
      <c r="E76" s="1">
        <f t="shared" si="6"/>
        <v>-1883.9782342839778</v>
      </c>
      <c r="F76" s="1">
        <f t="shared" si="7"/>
        <v>-1884</v>
      </c>
      <c r="G76" s="1">
        <f t="shared" si="9"/>
        <v>2.5979599995480385E-2</v>
      </c>
      <c r="I76" s="1">
        <f t="shared" si="10"/>
        <v>2.5979599995480385E-2</v>
      </c>
      <c r="Q76" s="58">
        <f t="shared" si="8"/>
        <v>35233.900999999998</v>
      </c>
    </row>
    <row r="77" spans="1:21" x14ac:dyDescent="0.2">
      <c r="A77" s="24" t="s">
        <v>78</v>
      </c>
      <c r="B77" s="25" t="s">
        <v>47</v>
      </c>
      <c r="C77" s="26">
        <v>50548.421000000002</v>
      </c>
      <c r="D77" s="27"/>
      <c r="E77" s="1">
        <f t="shared" si="6"/>
        <v>-1635.9725968934845</v>
      </c>
      <c r="F77" s="1">
        <f t="shared" si="7"/>
        <v>-1636</v>
      </c>
      <c r="G77" s="1">
        <f t="shared" si="9"/>
        <v>3.2708400001865812E-2</v>
      </c>
      <c r="I77" s="1">
        <f t="shared" si="10"/>
        <v>3.2708400001865812E-2</v>
      </c>
      <c r="Q77" s="58">
        <f t="shared" si="8"/>
        <v>35529.921000000002</v>
      </c>
    </row>
    <row r="78" spans="1:21" x14ac:dyDescent="0.2">
      <c r="A78" s="24" t="s">
        <v>79</v>
      </c>
      <c r="B78" s="25" t="s">
        <v>47</v>
      </c>
      <c r="C78" s="26">
        <v>50573.478999999999</v>
      </c>
      <c r="D78" s="27"/>
      <c r="E78" s="1">
        <f t="shared" si="6"/>
        <v>-1614.9789976038073</v>
      </c>
      <c r="F78" s="1">
        <f t="shared" si="7"/>
        <v>-1615</v>
      </c>
      <c r="G78" s="1">
        <f t="shared" si="9"/>
        <v>2.5068499999179039E-2</v>
      </c>
      <c r="I78" s="1">
        <f t="shared" si="10"/>
        <v>2.5068499999179039E-2</v>
      </c>
      <c r="Q78" s="58">
        <f t="shared" si="8"/>
        <v>35554.978999999999</v>
      </c>
    </row>
    <row r="79" spans="1:21" x14ac:dyDescent="0.2">
      <c r="A79" s="24" t="s">
        <v>64</v>
      </c>
      <c r="B79" s="25" t="s">
        <v>47</v>
      </c>
      <c r="C79" s="26">
        <v>50580.639999999999</v>
      </c>
      <c r="D79" s="27"/>
      <c r="E79" s="1">
        <f t="shared" si="6"/>
        <v>-1608.9795098348955</v>
      </c>
      <c r="F79" s="1">
        <f t="shared" si="7"/>
        <v>-1609</v>
      </c>
      <c r="G79" s="1">
        <f t="shared" si="9"/>
        <v>2.4457100000290666E-2</v>
      </c>
      <c r="I79" s="1">
        <f t="shared" si="10"/>
        <v>2.4457100000290666E-2</v>
      </c>
      <c r="Q79" s="58">
        <f t="shared" si="8"/>
        <v>35562.14</v>
      </c>
    </row>
    <row r="80" spans="1:21" x14ac:dyDescent="0.2">
      <c r="A80" s="24" t="s">
        <v>80</v>
      </c>
      <c r="B80" s="25" t="s">
        <v>47</v>
      </c>
      <c r="C80" s="26">
        <v>50876.637000000002</v>
      </c>
      <c r="D80" s="27"/>
      <c r="E80" s="1">
        <f t="shared" si="6"/>
        <v>-1360.9931418507265</v>
      </c>
      <c r="F80" s="1">
        <f t="shared" si="7"/>
        <v>-1361</v>
      </c>
      <c r="G80" s="1">
        <f t="shared" si="9"/>
        <v>8.1859000056283548E-3</v>
      </c>
      <c r="I80" s="1">
        <f t="shared" si="10"/>
        <v>8.1859000056283548E-3</v>
      </c>
      <c r="Q80" s="58">
        <f t="shared" si="8"/>
        <v>35858.137000000002</v>
      </c>
    </row>
    <row r="81" spans="1:17" x14ac:dyDescent="0.2">
      <c r="A81" s="24" t="s">
        <v>81</v>
      </c>
      <c r="B81" s="25" t="s">
        <v>47</v>
      </c>
      <c r="C81" s="26">
        <v>50949.444000000003</v>
      </c>
      <c r="D81" s="27"/>
      <c r="E81" s="1">
        <f t="shared" si="6"/>
        <v>-1299.9954172324926</v>
      </c>
      <c r="F81" s="1">
        <f t="shared" si="7"/>
        <v>-1300</v>
      </c>
      <c r="G81" s="1">
        <f t="shared" si="9"/>
        <v>5.4700000036973506E-3</v>
      </c>
      <c r="I81" s="1">
        <f t="shared" si="10"/>
        <v>5.4700000036973506E-3</v>
      </c>
      <c r="Q81" s="58">
        <f t="shared" si="8"/>
        <v>35930.944000000003</v>
      </c>
    </row>
    <row r="82" spans="1:17" x14ac:dyDescent="0.2">
      <c r="A82" s="24" t="s">
        <v>82</v>
      </c>
      <c r="B82" s="25" t="s">
        <v>47</v>
      </c>
      <c r="C82" s="26">
        <v>51197.713000000003</v>
      </c>
      <c r="D82" s="27"/>
      <c r="E82" s="1">
        <f t="shared" si="6"/>
        <v>-1091.9955807711062</v>
      </c>
      <c r="F82" s="1">
        <f t="shared" si="7"/>
        <v>-1092</v>
      </c>
      <c r="G82" s="1">
        <f t="shared" si="9"/>
        <v>5.2748000016435981E-3</v>
      </c>
      <c r="I82" s="1">
        <f t="shared" si="10"/>
        <v>5.2748000016435981E-3</v>
      </c>
      <c r="Q82" s="58">
        <f t="shared" si="8"/>
        <v>36179.213000000003</v>
      </c>
    </row>
    <row r="83" spans="1:17" x14ac:dyDescent="0.2">
      <c r="A83" s="24" t="s">
        <v>83</v>
      </c>
      <c r="B83" s="25" t="s">
        <v>47</v>
      </c>
      <c r="C83" s="26">
        <v>51967.595000000001</v>
      </c>
      <c r="D83" s="27"/>
      <c r="E83" s="1">
        <f t="shared" si="6"/>
        <v>-446.98822949259551</v>
      </c>
      <c r="F83" s="1">
        <f t="shared" si="7"/>
        <v>-447</v>
      </c>
      <c r="G83" s="1">
        <f t="shared" si="9"/>
        <v>1.4049299999896903E-2</v>
      </c>
      <c r="I83" s="1">
        <f t="shared" si="10"/>
        <v>1.4049299999896903E-2</v>
      </c>
      <c r="Q83" s="58">
        <f t="shared" si="8"/>
        <v>36949.095000000001</v>
      </c>
    </row>
    <row r="84" spans="1:17" x14ac:dyDescent="0.2">
      <c r="A84" s="24" t="s">
        <v>84</v>
      </c>
      <c r="B84" s="25" t="s">
        <v>47</v>
      </c>
      <c r="C84" s="26">
        <v>52276.726999999999</v>
      </c>
      <c r="D84" s="27"/>
      <c r="E84" s="1">
        <f t="shared" si="6"/>
        <v>-187.99735489697213</v>
      </c>
      <c r="F84" s="1">
        <f t="shared" si="7"/>
        <v>-188</v>
      </c>
      <c r="G84" s="1">
        <f t="shared" si="9"/>
        <v>3.1572000007145107E-3</v>
      </c>
      <c r="I84" s="1">
        <f t="shared" si="10"/>
        <v>3.1572000007145107E-3</v>
      </c>
      <c r="Q84" s="58">
        <f t="shared" si="8"/>
        <v>37258.226999999999</v>
      </c>
    </row>
    <row r="85" spans="1:17" x14ac:dyDescent="0.2">
      <c r="A85" s="24" t="s">
        <v>64</v>
      </c>
      <c r="B85" s="25" t="s">
        <v>47</v>
      </c>
      <c r="C85" s="26">
        <v>52405.634100000003</v>
      </c>
      <c r="D85" s="27"/>
      <c r="E85" s="1">
        <f t="shared" ref="E85:E119" si="11">+(C85-C$7)/C$8</f>
        <v>-79.998951074052613</v>
      </c>
      <c r="F85" s="1">
        <f t="shared" ref="F85:F116" si="12">ROUND(2*E85,0)/2</f>
        <v>-80</v>
      </c>
      <c r="G85" s="1">
        <f t="shared" si="9"/>
        <v>1.2520000018412247E-3</v>
      </c>
      <c r="J85" s="1">
        <f>+G85</f>
        <v>1.2520000018412247E-3</v>
      </c>
      <c r="Q85" s="58">
        <f t="shared" ref="Q85:Q119" si="13">+C85-15018.5</f>
        <v>37387.134100000003</v>
      </c>
    </row>
    <row r="86" spans="1:17" x14ac:dyDescent="0.2">
      <c r="A86" s="1" t="s">
        <v>85</v>
      </c>
      <c r="C86" s="27">
        <v>52501.120999999999</v>
      </c>
      <c r="D86" s="27" t="s">
        <v>18</v>
      </c>
      <c r="E86" s="1">
        <f t="shared" si="11"/>
        <v>0</v>
      </c>
      <c r="F86" s="1">
        <f t="shared" si="12"/>
        <v>0</v>
      </c>
      <c r="G86" s="1">
        <f t="shared" si="9"/>
        <v>0</v>
      </c>
      <c r="I86" s="1">
        <f>+G86</f>
        <v>0</v>
      </c>
      <c r="Q86" s="58">
        <f t="shared" si="13"/>
        <v>37482.620999999999</v>
      </c>
    </row>
    <row r="87" spans="1:17" x14ac:dyDescent="0.2">
      <c r="A87" s="24" t="s">
        <v>64</v>
      </c>
      <c r="B87" s="25" t="s">
        <v>47</v>
      </c>
      <c r="C87" s="26">
        <v>52763.71</v>
      </c>
      <c r="D87" s="27"/>
      <c r="E87" s="1">
        <f t="shared" si="11"/>
        <v>219.99713639866019</v>
      </c>
      <c r="F87" s="1">
        <f t="shared" si="12"/>
        <v>220</v>
      </c>
      <c r="G87" s="1">
        <f t="shared" si="9"/>
        <v>-3.4180000002379529E-3</v>
      </c>
      <c r="J87" s="1">
        <f>+G87</f>
        <v>-3.4180000002379529E-3</v>
      </c>
      <c r="Q87" s="58">
        <f t="shared" si="13"/>
        <v>37745.21</v>
      </c>
    </row>
    <row r="88" spans="1:17" x14ac:dyDescent="0.2">
      <c r="A88" s="24" t="s">
        <v>64</v>
      </c>
      <c r="B88" s="25" t="s">
        <v>47</v>
      </c>
      <c r="C88" s="26">
        <v>52769.680699999997</v>
      </c>
      <c r="D88" s="27"/>
      <c r="E88" s="1">
        <f t="shared" si="11"/>
        <v>224.99939050029829</v>
      </c>
      <c r="F88" s="1">
        <f t="shared" si="12"/>
        <v>225</v>
      </c>
      <c r="G88" s="1">
        <f t="shared" si="9"/>
        <v>-7.2750000254018232E-4</v>
      </c>
      <c r="J88" s="1">
        <f>+G88</f>
        <v>-7.2750000254018232E-4</v>
      </c>
      <c r="Q88" s="58">
        <f t="shared" si="13"/>
        <v>37751.180699999997</v>
      </c>
    </row>
    <row r="89" spans="1:17" x14ac:dyDescent="0.2">
      <c r="A89" s="24" t="s">
        <v>64</v>
      </c>
      <c r="B89" s="25" t="s">
        <v>47</v>
      </c>
      <c r="C89" s="26">
        <v>52781.616999999998</v>
      </c>
      <c r="D89" s="27"/>
      <c r="E89" s="1">
        <f t="shared" si="11"/>
        <v>234.99962592217656</v>
      </c>
      <c r="F89" s="1">
        <f t="shared" si="12"/>
        <v>235</v>
      </c>
      <c r="G89" s="1">
        <f t="shared" si="9"/>
        <v>-4.4650000199908391E-4</v>
      </c>
      <c r="J89" s="1">
        <f>+G89</f>
        <v>-4.4650000199908391E-4</v>
      </c>
      <c r="Q89" s="58">
        <f t="shared" si="13"/>
        <v>37763.116999999998</v>
      </c>
    </row>
    <row r="90" spans="1:17" x14ac:dyDescent="0.2">
      <c r="A90" s="24" t="s">
        <v>64</v>
      </c>
      <c r="B90" s="25" t="s">
        <v>47</v>
      </c>
      <c r="C90" s="26">
        <v>52812.650199999996</v>
      </c>
      <c r="D90" s="27"/>
      <c r="E90" s="1">
        <f t="shared" si="11"/>
        <v>260.99924941473137</v>
      </c>
      <c r="F90" s="1">
        <f t="shared" si="12"/>
        <v>261</v>
      </c>
      <c r="G90" s="1">
        <f t="shared" si="9"/>
        <v>-8.9590000425232574E-4</v>
      </c>
      <c r="J90" s="1">
        <f>+G90</f>
        <v>-8.9590000425232574E-4</v>
      </c>
      <c r="Q90" s="58">
        <f t="shared" si="13"/>
        <v>37794.150199999996</v>
      </c>
    </row>
    <row r="91" spans="1:17" x14ac:dyDescent="0.2">
      <c r="A91" s="24" t="s">
        <v>64</v>
      </c>
      <c r="B91" s="25" t="s">
        <v>47</v>
      </c>
      <c r="C91" s="26">
        <v>53176.700799999999</v>
      </c>
      <c r="D91" s="27"/>
      <c r="E91" s="1">
        <f t="shared" si="11"/>
        <v>566.00094219018877</v>
      </c>
      <c r="F91" s="1">
        <f t="shared" si="12"/>
        <v>566</v>
      </c>
      <c r="G91" s="1">
        <f t="shared" si="9"/>
        <v>1.1245999994571321E-3</v>
      </c>
      <c r="J91" s="1">
        <f>+G91</f>
        <v>1.1245999994571321E-3</v>
      </c>
      <c r="Q91" s="58">
        <f t="shared" si="13"/>
        <v>38158.200799999999</v>
      </c>
    </row>
    <row r="92" spans="1:17" x14ac:dyDescent="0.2">
      <c r="A92" s="28" t="s">
        <v>86</v>
      </c>
      <c r="B92" s="29" t="s">
        <v>47</v>
      </c>
      <c r="C92" s="28">
        <v>53515.681900000003</v>
      </c>
      <c r="D92" s="28">
        <v>2.0000000000000001E-4</v>
      </c>
      <c r="E92" s="1">
        <f t="shared" si="11"/>
        <v>849.99940097280682</v>
      </c>
      <c r="F92" s="1">
        <f t="shared" si="12"/>
        <v>850</v>
      </c>
      <c r="G92" s="1">
        <f t="shared" si="9"/>
        <v>-7.1499999467050657E-4</v>
      </c>
      <c r="K92" s="1">
        <f t="shared" ref="K92:K119" si="14">+G92</f>
        <v>-7.1499999467050657E-4</v>
      </c>
      <c r="Q92" s="58">
        <f t="shared" si="13"/>
        <v>38497.181900000003</v>
      </c>
    </row>
    <row r="93" spans="1:17" x14ac:dyDescent="0.2">
      <c r="A93" s="24" t="s">
        <v>87</v>
      </c>
      <c r="B93" s="25" t="s">
        <v>47</v>
      </c>
      <c r="C93" s="26">
        <v>53815.2762</v>
      </c>
      <c r="D93" s="27"/>
      <c r="E93" s="1">
        <f t="shared" si="11"/>
        <v>1100.9995878860457</v>
      </c>
      <c r="F93" s="1">
        <f t="shared" si="12"/>
        <v>1101</v>
      </c>
      <c r="G93" s="1">
        <f t="shared" si="9"/>
        <v>-4.9189999845111743E-4</v>
      </c>
      <c r="K93" s="1">
        <f t="shared" si="14"/>
        <v>-4.9189999845111743E-4</v>
      </c>
      <c r="Q93" s="58">
        <f t="shared" si="13"/>
        <v>38796.7762</v>
      </c>
    </row>
    <row r="94" spans="1:17" x14ac:dyDescent="0.2">
      <c r="A94" s="24" t="s">
        <v>88</v>
      </c>
      <c r="B94" s="25" t="s">
        <v>47</v>
      </c>
      <c r="C94" s="26">
        <v>54200.810400000002</v>
      </c>
      <c r="D94" s="27"/>
      <c r="E94" s="1">
        <f t="shared" si="11"/>
        <v>1424.0002466484034</v>
      </c>
      <c r="F94" s="1">
        <f t="shared" si="12"/>
        <v>1424</v>
      </c>
      <c r="G94" s="1">
        <f t="shared" si="9"/>
        <v>2.9440000071190298E-4</v>
      </c>
      <c r="K94" s="1">
        <f t="shared" si="14"/>
        <v>2.9440000071190298E-4</v>
      </c>
      <c r="Q94" s="58">
        <f t="shared" si="13"/>
        <v>39182.310400000002</v>
      </c>
    </row>
    <row r="95" spans="1:17" x14ac:dyDescent="0.2">
      <c r="A95" s="24" t="s">
        <v>88</v>
      </c>
      <c r="B95" s="25" t="s">
        <v>47</v>
      </c>
      <c r="C95" s="26">
        <v>54218.714399999997</v>
      </c>
      <c r="D95" s="27"/>
      <c r="E95" s="1">
        <f t="shared" si="11"/>
        <v>1439.0002227710913</v>
      </c>
      <c r="F95" s="1">
        <f t="shared" si="12"/>
        <v>1439</v>
      </c>
      <c r="G95" s="1">
        <f t="shared" si="9"/>
        <v>2.6589999470161274E-4</v>
      </c>
      <c r="K95" s="1">
        <f t="shared" si="14"/>
        <v>2.6589999470161274E-4</v>
      </c>
      <c r="O95" s="1">
        <f t="shared" ref="O95:O119" ca="1" si="15">+C$11+C$12*$F95</f>
        <v>3.2407451642385551E-2</v>
      </c>
      <c r="Q95" s="58">
        <f t="shared" si="13"/>
        <v>39200.214399999997</v>
      </c>
    </row>
    <row r="96" spans="1:17" x14ac:dyDescent="0.2">
      <c r="A96" s="30" t="s">
        <v>89</v>
      </c>
      <c r="B96" s="31" t="s">
        <v>47</v>
      </c>
      <c r="C96" s="32">
        <v>54588.729700000004</v>
      </c>
      <c r="D96" s="32">
        <v>1E-4</v>
      </c>
      <c r="E96" s="1">
        <f t="shared" si="11"/>
        <v>1748.9991428465423</v>
      </c>
      <c r="F96" s="1">
        <f t="shared" si="12"/>
        <v>1749</v>
      </c>
      <c r="G96" s="1">
        <f t="shared" si="9"/>
        <v>-1.0230999978375621E-3</v>
      </c>
      <c r="K96" s="1">
        <f t="shared" si="14"/>
        <v>-1.0230999978375621E-3</v>
      </c>
      <c r="O96" s="1">
        <f t="shared" ca="1" si="15"/>
        <v>2.919338404367278E-2</v>
      </c>
      <c r="Q96" s="58">
        <f t="shared" si="13"/>
        <v>39570.229700000004</v>
      </c>
    </row>
    <row r="97" spans="1:17" x14ac:dyDescent="0.2">
      <c r="A97" s="30" t="s">
        <v>90</v>
      </c>
      <c r="B97" s="31" t="s">
        <v>47</v>
      </c>
      <c r="C97" s="32">
        <v>54933.682399999998</v>
      </c>
      <c r="D97" s="32">
        <v>1E-4</v>
      </c>
      <c r="E97" s="1">
        <f t="shared" si="11"/>
        <v>2038.0006097510391</v>
      </c>
      <c r="F97" s="1">
        <f t="shared" si="12"/>
        <v>2038</v>
      </c>
      <c r="G97" s="1">
        <f t="shared" si="9"/>
        <v>7.2779999754857272E-4</v>
      </c>
      <c r="K97" s="1">
        <f t="shared" si="14"/>
        <v>7.2779999754857272E-4</v>
      </c>
      <c r="O97" s="1">
        <f t="shared" ca="1" si="15"/>
        <v>2.6197043604872808E-2</v>
      </c>
      <c r="Q97" s="58">
        <f t="shared" si="13"/>
        <v>39915.182399999998</v>
      </c>
    </row>
    <row r="98" spans="1:17" x14ac:dyDescent="0.2">
      <c r="A98" s="30" t="s">
        <v>91</v>
      </c>
      <c r="B98" s="31" t="s">
        <v>47</v>
      </c>
      <c r="C98" s="32">
        <v>55309.669500000004</v>
      </c>
      <c r="D98" s="32">
        <v>1E-4</v>
      </c>
      <c r="E98" s="1">
        <f t="shared" si="11"/>
        <v>2353.0027055084315</v>
      </c>
      <c r="F98" s="1">
        <f t="shared" si="12"/>
        <v>2353</v>
      </c>
      <c r="G98" s="1">
        <f t="shared" si="9"/>
        <v>3.2293000040226616E-3</v>
      </c>
      <c r="K98" s="1">
        <f t="shared" si="14"/>
        <v>3.2293000040226616E-3</v>
      </c>
      <c r="O98" s="1">
        <f t="shared" ca="1" si="15"/>
        <v>2.2931136206180796E-2</v>
      </c>
      <c r="Q98" s="58">
        <f t="shared" si="13"/>
        <v>40291.169500000004</v>
      </c>
    </row>
    <row r="99" spans="1:17" x14ac:dyDescent="0.2">
      <c r="A99" s="30" t="s">
        <v>92</v>
      </c>
      <c r="B99" s="31" t="s">
        <v>47</v>
      </c>
      <c r="C99" s="32">
        <v>55629.55631</v>
      </c>
      <c r="D99" s="32">
        <v>2.0000000000000001E-4</v>
      </c>
      <c r="E99" s="1">
        <f t="shared" si="11"/>
        <v>2621.003962879081</v>
      </c>
      <c r="F99" s="1">
        <f t="shared" si="12"/>
        <v>2621</v>
      </c>
      <c r="G99" s="1">
        <f t="shared" si="9"/>
        <v>4.7301000013248995E-3</v>
      </c>
      <c r="K99" s="1">
        <f t="shared" si="14"/>
        <v>4.7301000013248995E-3</v>
      </c>
      <c r="O99" s="1">
        <f t="shared" ca="1" si="15"/>
        <v>2.0152522927293623E-2</v>
      </c>
      <c r="Q99" s="58">
        <f t="shared" si="13"/>
        <v>40611.05631</v>
      </c>
    </row>
    <row r="100" spans="1:17" x14ac:dyDescent="0.2">
      <c r="A100" s="30" t="s">
        <v>92</v>
      </c>
      <c r="B100" s="31" t="s">
        <v>47</v>
      </c>
      <c r="C100" s="32">
        <v>55629.556550000001</v>
      </c>
      <c r="D100" s="32">
        <v>2.0000000000000001E-4</v>
      </c>
      <c r="E100" s="1">
        <f t="shared" si="11"/>
        <v>2621.0041639511483</v>
      </c>
      <c r="F100" s="1">
        <f t="shared" si="12"/>
        <v>2621</v>
      </c>
      <c r="G100" s="1">
        <f t="shared" si="9"/>
        <v>4.9701000025379471E-3</v>
      </c>
      <c r="K100" s="1">
        <f t="shared" si="14"/>
        <v>4.9701000025379471E-3</v>
      </c>
      <c r="O100" s="1">
        <f t="shared" ca="1" si="15"/>
        <v>2.0152522927293623E-2</v>
      </c>
      <c r="Q100" s="58">
        <f t="shared" si="13"/>
        <v>40611.056550000001</v>
      </c>
    </row>
    <row r="101" spans="1:17" x14ac:dyDescent="0.2">
      <c r="A101" s="30" t="s">
        <v>92</v>
      </c>
      <c r="B101" s="31" t="s">
        <v>47</v>
      </c>
      <c r="C101" s="32">
        <v>55629.556750000003</v>
      </c>
      <c r="D101" s="32">
        <v>1E-4</v>
      </c>
      <c r="E101" s="1">
        <f t="shared" si="11"/>
        <v>2621.0043315112052</v>
      </c>
      <c r="F101" s="1">
        <f t="shared" si="12"/>
        <v>2621</v>
      </c>
      <c r="G101" s="1">
        <f t="shared" ref="G101:G132" si="16">+C101-(C$7+F101*C$8)</f>
        <v>5.1701000047614798E-3</v>
      </c>
      <c r="K101" s="1">
        <f t="shared" si="14"/>
        <v>5.1701000047614798E-3</v>
      </c>
      <c r="O101" s="1">
        <f t="shared" ca="1" si="15"/>
        <v>2.0152522927293623E-2</v>
      </c>
      <c r="Q101" s="58">
        <f t="shared" si="13"/>
        <v>40611.056750000003</v>
      </c>
    </row>
    <row r="102" spans="1:17" x14ac:dyDescent="0.2">
      <c r="A102" s="30" t="s">
        <v>92</v>
      </c>
      <c r="B102" s="31" t="s">
        <v>47</v>
      </c>
      <c r="C102" s="32">
        <v>55629.556779999999</v>
      </c>
      <c r="D102" s="32">
        <v>1E-4</v>
      </c>
      <c r="E102" s="1">
        <f t="shared" si="11"/>
        <v>2621.0043566452096</v>
      </c>
      <c r="F102" s="1">
        <f t="shared" si="12"/>
        <v>2621</v>
      </c>
      <c r="G102" s="1">
        <f t="shared" si="16"/>
        <v>5.2001000003656372E-3</v>
      </c>
      <c r="K102" s="1">
        <f t="shared" si="14"/>
        <v>5.2001000003656372E-3</v>
      </c>
      <c r="O102" s="1">
        <f t="shared" ca="1" si="15"/>
        <v>2.0152522927293623E-2</v>
      </c>
      <c r="Q102" s="58">
        <f t="shared" si="13"/>
        <v>40611.056779999999</v>
      </c>
    </row>
    <row r="103" spans="1:17" x14ac:dyDescent="0.2">
      <c r="A103" s="30" t="s">
        <v>92</v>
      </c>
      <c r="B103" s="31" t="s">
        <v>47</v>
      </c>
      <c r="C103" s="32">
        <v>56011.513299999999</v>
      </c>
      <c r="D103" s="32">
        <v>2.0000000000000001E-4</v>
      </c>
      <c r="E103" s="1">
        <f t="shared" si="11"/>
        <v>2941.0076341198851</v>
      </c>
      <c r="F103" s="1">
        <f t="shared" si="12"/>
        <v>2941</v>
      </c>
      <c r="G103" s="1">
        <f t="shared" si="16"/>
        <v>9.1121000004932284E-3</v>
      </c>
      <c r="K103" s="1">
        <f t="shared" si="14"/>
        <v>9.1121000004932284E-3</v>
      </c>
      <c r="O103" s="1">
        <f t="shared" ca="1" si="15"/>
        <v>1.6834775728622374E-2</v>
      </c>
      <c r="Q103" s="58">
        <f t="shared" si="13"/>
        <v>40993.013299999999</v>
      </c>
    </row>
    <row r="104" spans="1:17" x14ac:dyDescent="0.2">
      <c r="A104" s="30" t="s">
        <v>92</v>
      </c>
      <c r="B104" s="31" t="s">
        <v>47</v>
      </c>
      <c r="C104" s="32">
        <v>56011.51339</v>
      </c>
      <c r="D104" s="32">
        <v>1E-4</v>
      </c>
      <c r="E104" s="1">
        <f t="shared" si="11"/>
        <v>2941.0077095219108</v>
      </c>
      <c r="F104" s="1">
        <f t="shared" si="12"/>
        <v>2941</v>
      </c>
      <c r="G104" s="1">
        <f t="shared" si="16"/>
        <v>9.202100001857616E-3</v>
      </c>
      <c r="K104" s="1">
        <f t="shared" si="14"/>
        <v>9.202100001857616E-3</v>
      </c>
      <c r="O104" s="1">
        <f t="shared" ca="1" si="15"/>
        <v>1.6834775728622374E-2</v>
      </c>
      <c r="Q104" s="58">
        <f t="shared" si="13"/>
        <v>40993.01339</v>
      </c>
    </row>
    <row r="105" spans="1:17" x14ac:dyDescent="0.2">
      <c r="A105" s="30" t="s">
        <v>92</v>
      </c>
      <c r="B105" s="31" t="s">
        <v>47</v>
      </c>
      <c r="C105" s="32">
        <v>56011.513469999998</v>
      </c>
      <c r="D105" s="32">
        <v>2.9999999999999997E-4</v>
      </c>
      <c r="E105" s="1">
        <f t="shared" si="11"/>
        <v>2941.0077765459314</v>
      </c>
      <c r="F105" s="1">
        <f t="shared" si="12"/>
        <v>2941</v>
      </c>
      <c r="G105" s="1">
        <f t="shared" si="16"/>
        <v>9.282099999836646E-3</v>
      </c>
      <c r="K105" s="1">
        <f t="shared" si="14"/>
        <v>9.282099999836646E-3</v>
      </c>
      <c r="O105" s="1">
        <f t="shared" ca="1" si="15"/>
        <v>1.6834775728622374E-2</v>
      </c>
      <c r="Q105" s="58">
        <f t="shared" si="13"/>
        <v>40993.013469999998</v>
      </c>
    </row>
    <row r="106" spans="1:17" x14ac:dyDescent="0.2">
      <c r="A106" s="30" t="s">
        <v>92</v>
      </c>
      <c r="B106" s="31" t="s">
        <v>47</v>
      </c>
      <c r="C106" s="32">
        <v>56011.513619999998</v>
      </c>
      <c r="D106" s="32">
        <v>1E-4</v>
      </c>
      <c r="E106" s="1">
        <f t="shared" si="11"/>
        <v>2941.0079022159721</v>
      </c>
      <c r="F106" s="1">
        <f t="shared" si="12"/>
        <v>2941</v>
      </c>
      <c r="G106" s="1">
        <f t="shared" si="16"/>
        <v>9.4320999996853061E-3</v>
      </c>
      <c r="K106" s="1">
        <f t="shared" si="14"/>
        <v>9.4320999996853061E-3</v>
      </c>
      <c r="O106" s="1">
        <f t="shared" ca="1" si="15"/>
        <v>1.6834775728622374E-2</v>
      </c>
      <c r="Q106" s="58">
        <f t="shared" si="13"/>
        <v>40993.013619999998</v>
      </c>
    </row>
    <row r="107" spans="1:17" x14ac:dyDescent="0.2">
      <c r="A107" s="24" t="s">
        <v>93</v>
      </c>
      <c r="B107" s="25" t="s">
        <v>47</v>
      </c>
      <c r="C107" s="26">
        <v>56074.777900000001</v>
      </c>
      <c r="D107" s="27"/>
      <c r="E107" s="1">
        <f t="shared" si="11"/>
        <v>2994.0107333944438</v>
      </c>
      <c r="F107" s="1">
        <f t="shared" si="12"/>
        <v>2994</v>
      </c>
      <c r="G107" s="1">
        <f t="shared" si="16"/>
        <v>1.2811400003556628E-2</v>
      </c>
      <c r="K107" s="1">
        <f t="shared" si="14"/>
        <v>1.2811400003556628E-2</v>
      </c>
      <c r="O107" s="1">
        <f t="shared" ca="1" si="15"/>
        <v>1.6285273848842447E-2</v>
      </c>
      <c r="Q107" s="58">
        <f t="shared" si="13"/>
        <v>41056.277900000001</v>
      </c>
    </row>
    <row r="108" spans="1:17" x14ac:dyDescent="0.2">
      <c r="A108" s="30" t="s">
        <v>94</v>
      </c>
      <c r="B108" s="31" t="s">
        <v>47</v>
      </c>
      <c r="C108" s="32">
        <v>56074.777999999998</v>
      </c>
      <c r="D108" s="32">
        <v>4.0000000000000002E-4</v>
      </c>
      <c r="E108" s="1">
        <f t="shared" si="11"/>
        <v>2994.0108171744691</v>
      </c>
      <c r="F108" s="1">
        <f t="shared" si="12"/>
        <v>2994</v>
      </c>
      <c r="G108" s="1">
        <f t="shared" si="16"/>
        <v>1.2911400001030415E-2</v>
      </c>
      <c r="K108" s="1">
        <f t="shared" si="14"/>
        <v>1.2911400001030415E-2</v>
      </c>
      <c r="O108" s="1">
        <f t="shared" ca="1" si="15"/>
        <v>1.6285273848842447E-2</v>
      </c>
      <c r="Q108" s="58">
        <f t="shared" si="13"/>
        <v>41056.277999999998</v>
      </c>
    </row>
    <row r="109" spans="1:17" x14ac:dyDescent="0.2">
      <c r="A109" s="30" t="s">
        <v>95</v>
      </c>
      <c r="B109" s="31" t="s">
        <v>47</v>
      </c>
      <c r="C109" s="32">
        <v>56801.68</v>
      </c>
      <c r="D109" s="32">
        <v>2.0000000000000001E-4</v>
      </c>
      <c r="E109" s="1">
        <f t="shared" si="11"/>
        <v>3603.0095126356628</v>
      </c>
      <c r="F109" s="1">
        <f t="shared" si="12"/>
        <v>3603</v>
      </c>
      <c r="G109" s="1">
        <f t="shared" si="16"/>
        <v>1.1354299997037742E-2</v>
      </c>
      <c r="K109" s="1">
        <f t="shared" si="14"/>
        <v>1.1354299997037742E-2</v>
      </c>
      <c r="O109" s="1">
        <f t="shared" ca="1" si="15"/>
        <v>9.971186211371226E-3</v>
      </c>
      <c r="Q109" s="58">
        <f t="shared" si="13"/>
        <v>41783.18</v>
      </c>
    </row>
    <row r="110" spans="1:17" x14ac:dyDescent="0.2">
      <c r="A110" s="33" t="s">
        <v>96</v>
      </c>
      <c r="B110" s="34" t="s">
        <v>47</v>
      </c>
      <c r="C110" s="33">
        <v>57425.927799999998</v>
      </c>
      <c r="D110" s="33">
        <v>1E-4</v>
      </c>
      <c r="E110" s="1">
        <f t="shared" si="11"/>
        <v>4126.0044911121522</v>
      </c>
      <c r="F110" s="1">
        <f t="shared" si="12"/>
        <v>4126</v>
      </c>
      <c r="G110" s="1">
        <f t="shared" si="16"/>
        <v>5.360600000130944E-3</v>
      </c>
      <c r="K110" s="1">
        <f t="shared" si="14"/>
        <v>5.360600000130944E-3</v>
      </c>
      <c r="O110" s="1">
        <f t="shared" ca="1" si="15"/>
        <v>4.5487431335428999E-3</v>
      </c>
      <c r="Q110" s="58">
        <f t="shared" si="13"/>
        <v>42407.427799999998</v>
      </c>
    </row>
    <row r="111" spans="1:17" x14ac:dyDescent="0.2">
      <c r="A111" s="35" t="s">
        <v>97</v>
      </c>
      <c r="B111" s="36" t="s">
        <v>47</v>
      </c>
      <c r="C111" s="35">
        <v>57886.651599999997</v>
      </c>
      <c r="D111" s="35">
        <v>1E-4</v>
      </c>
      <c r="E111" s="1">
        <f t="shared" si="11"/>
        <v>4511.9990174278364</v>
      </c>
      <c r="F111" s="1">
        <f t="shared" si="12"/>
        <v>4512</v>
      </c>
      <c r="G111" s="1">
        <f t="shared" si="16"/>
        <v>-1.1728000026778318E-3</v>
      </c>
      <c r="K111" s="1">
        <f t="shared" si="14"/>
        <v>-1.1728000026778318E-3</v>
      </c>
      <c r="O111" s="1">
        <f t="shared" ca="1" si="15"/>
        <v>5.4671057514570076E-4</v>
      </c>
      <c r="Q111" s="58">
        <f t="shared" si="13"/>
        <v>42868.151599999997</v>
      </c>
    </row>
    <row r="112" spans="1:17" x14ac:dyDescent="0.2">
      <c r="A112" s="37" t="s">
        <v>98</v>
      </c>
      <c r="B112" s="38" t="s">
        <v>47</v>
      </c>
      <c r="C112" s="39">
        <v>57916.493000000002</v>
      </c>
      <c r="D112" s="39">
        <v>0.01</v>
      </c>
      <c r="E112" s="1">
        <f t="shared" si="11"/>
        <v>4537.0001505527116</v>
      </c>
      <c r="F112" s="1">
        <f t="shared" si="12"/>
        <v>4537</v>
      </c>
      <c r="G112" s="1">
        <f t="shared" si="16"/>
        <v>1.7970000044442713E-4</v>
      </c>
      <c r="K112" s="1">
        <f t="shared" si="14"/>
        <v>1.7970000044442713E-4</v>
      </c>
      <c r="O112" s="1">
        <f t="shared" ca="1" si="15"/>
        <v>2.8751157524951193E-4</v>
      </c>
      <c r="Q112" s="58">
        <f t="shared" si="13"/>
        <v>42897.993000000002</v>
      </c>
    </row>
    <row r="113" spans="1:17" x14ac:dyDescent="0.2">
      <c r="A113" s="40" t="s">
        <v>99</v>
      </c>
      <c r="B113" s="41" t="s">
        <v>47</v>
      </c>
      <c r="C113" s="42">
        <v>58249.503599999996</v>
      </c>
      <c r="D113" s="42">
        <v>1E-4</v>
      </c>
      <c r="E113" s="1">
        <f t="shared" si="11"/>
        <v>4815.9965227937364</v>
      </c>
      <c r="F113" s="1">
        <f t="shared" si="12"/>
        <v>4816</v>
      </c>
      <c r="G113" s="1">
        <f t="shared" si="16"/>
        <v>-4.1504000037093647E-3</v>
      </c>
      <c r="K113" s="1">
        <f t="shared" si="14"/>
        <v>-4.1504000037093647E-3</v>
      </c>
      <c r="O113" s="1">
        <f t="shared" ca="1" si="15"/>
        <v>-2.6051492635919826E-3</v>
      </c>
      <c r="Q113" s="58">
        <f t="shared" si="13"/>
        <v>43231.003599999996</v>
      </c>
    </row>
    <row r="114" spans="1:17" x14ac:dyDescent="0.2">
      <c r="A114" s="40" t="s">
        <v>100</v>
      </c>
      <c r="B114" s="41" t="s">
        <v>47</v>
      </c>
      <c r="C114" s="42">
        <v>58553.871299999999</v>
      </c>
      <c r="D114" s="42">
        <v>2.0000000000000001E-4</v>
      </c>
      <c r="E114" s="1">
        <f t="shared" si="11"/>
        <v>5070.995865539423</v>
      </c>
      <c r="F114" s="1">
        <f t="shared" si="12"/>
        <v>5071</v>
      </c>
      <c r="G114" s="1">
        <f t="shared" si="16"/>
        <v>-4.9349000037182122E-3</v>
      </c>
      <c r="K114" s="1">
        <f t="shared" si="14"/>
        <v>-4.9349000037182122E-3</v>
      </c>
      <c r="O114" s="1">
        <f t="shared" ca="1" si="15"/>
        <v>-5.2489790625331392E-3</v>
      </c>
      <c r="Q114" s="58">
        <f t="shared" si="13"/>
        <v>43535.371299999999</v>
      </c>
    </row>
    <row r="115" spans="1:17" x14ac:dyDescent="0.2">
      <c r="A115" s="43" t="s">
        <v>101</v>
      </c>
      <c r="B115" s="44" t="s">
        <v>47</v>
      </c>
      <c r="C115" s="45">
        <v>58941.788099999998</v>
      </c>
      <c r="D115" s="45">
        <v>2.0000000000000001E-4</v>
      </c>
      <c r="E115" s="1">
        <f t="shared" si="11"/>
        <v>5395.9926672368729</v>
      </c>
      <c r="F115" s="1">
        <f t="shared" si="12"/>
        <v>5396</v>
      </c>
      <c r="G115" s="1">
        <f t="shared" si="16"/>
        <v>-8.7524000045959838E-3</v>
      </c>
      <c r="K115" s="1">
        <f t="shared" si="14"/>
        <v>-8.7524000045959838E-3</v>
      </c>
      <c r="O115" s="1">
        <f t="shared" ca="1" si="15"/>
        <v>-8.6185660611836218E-3</v>
      </c>
      <c r="Q115" s="58">
        <f t="shared" si="13"/>
        <v>43923.288099999998</v>
      </c>
    </row>
    <row r="116" spans="1:17" ht="12" customHeight="1" x14ac:dyDescent="0.2">
      <c r="A116" s="40" t="s">
        <v>363</v>
      </c>
      <c r="B116" s="41" t="s">
        <v>47</v>
      </c>
      <c r="C116" s="42">
        <v>59317.769</v>
      </c>
      <c r="D116" s="42">
        <v>1E-4</v>
      </c>
      <c r="E116" s="1">
        <f t="shared" si="11"/>
        <v>5710.9895686325572</v>
      </c>
      <c r="F116" s="1">
        <f t="shared" si="12"/>
        <v>5711</v>
      </c>
      <c r="G116" s="1">
        <f t="shared" si="16"/>
        <v>-1.2450900001567788E-2</v>
      </c>
      <c r="K116" s="1">
        <f t="shared" si="14"/>
        <v>-1.2450900001567788E-2</v>
      </c>
      <c r="O116" s="1">
        <f t="shared" ca="1" si="15"/>
        <v>-1.1884473459875637E-2</v>
      </c>
      <c r="Q116" s="58">
        <f t="shared" si="13"/>
        <v>44299.269</v>
      </c>
    </row>
    <row r="117" spans="1:17" ht="12" customHeight="1" x14ac:dyDescent="0.2">
      <c r="A117" s="40" t="s">
        <v>363</v>
      </c>
      <c r="B117" s="41" t="s">
        <v>47</v>
      </c>
      <c r="C117" s="42">
        <v>59352.383300000001</v>
      </c>
      <c r="D117" s="42">
        <v>1E-4</v>
      </c>
      <c r="E117" s="1">
        <f t="shared" si="11"/>
        <v>5739.9894386897358</v>
      </c>
      <c r="F117" s="1">
        <f t="shared" ref="F117:F148" si="17">ROUND(2*E117,0)/2</f>
        <v>5740</v>
      </c>
      <c r="G117" s="1">
        <f t="shared" si="16"/>
        <v>-1.2605999996594619E-2</v>
      </c>
      <c r="K117" s="1">
        <f t="shared" si="14"/>
        <v>-1.2605999996594619E-2</v>
      </c>
      <c r="O117" s="1">
        <f t="shared" ca="1" si="15"/>
        <v>-1.2185144299755216E-2</v>
      </c>
      <c r="Q117" s="58">
        <f t="shared" si="13"/>
        <v>44333.883300000001</v>
      </c>
    </row>
    <row r="118" spans="1:17" ht="12" customHeight="1" x14ac:dyDescent="0.2">
      <c r="A118" s="59" t="s">
        <v>365</v>
      </c>
      <c r="B118" s="60" t="s">
        <v>47</v>
      </c>
      <c r="C118" s="62">
        <v>59716.43002999993</v>
      </c>
      <c r="D118" s="62">
        <v>5.0000000000000001E-4</v>
      </c>
      <c r="E118" s="1">
        <f t="shared" si="11"/>
        <v>6044.9878891780681</v>
      </c>
      <c r="F118" s="1">
        <f t="shared" si="17"/>
        <v>6045</v>
      </c>
      <c r="G118" s="1">
        <f t="shared" si="16"/>
        <v>-1.4455500066105742E-2</v>
      </c>
      <c r="K118" s="1">
        <f t="shared" si="14"/>
        <v>-1.4455500066105742E-2</v>
      </c>
      <c r="O118" s="1">
        <f t="shared" ca="1" si="15"/>
        <v>-1.5347372098488757E-2</v>
      </c>
      <c r="Q118" s="58">
        <f t="shared" si="13"/>
        <v>44697.93002999993</v>
      </c>
    </row>
    <row r="119" spans="1:17" ht="12" customHeight="1" x14ac:dyDescent="0.2">
      <c r="A119" s="59" t="s">
        <v>364</v>
      </c>
      <c r="B119" s="60" t="s">
        <v>47</v>
      </c>
      <c r="C119" s="61">
        <v>59748.656799999997</v>
      </c>
      <c r="D119" s="59">
        <v>1E-4</v>
      </c>
      <c r="E119" s="1">
        <f t="shared" si="11"/>
        <v>6071.987485944851</v>
      </c>
      <c r="F119" s="1">
        <f t="shared" si="17"/>
        <v>6072</v>
      </c>
      <c r="G119" s="1">
        <f t="shared" si="16"/>
        <v>-1.4936799998395145E-2</v>
      </c>
      <c r="K119" s="1">
        <f t="shared" si="14"/>
        <v>-1.4936799998395145E-2</v>
      </c>
      <c r="O119" s="1">
        <f t="shared" ca="1" si="15"/>
        <v>-1.562730701837664E-2</v>
      </c>
      <c r="Q119" s="58">
        <f t="shared" si="13"/>
        <v>44730.156799999997</v>
      </c>
    </row>
    <row r="120" spans="1:17" x14ac:dyDescent="0.2">
      <c r="A120" s="63" t="s">
        <v>366</v>
      </c>
      <c r="B120" s="63" t="s">
        <v>47</v>
      </c>
      <c r="C120" s="64">
        <v>60074.507000000216</v>
      </c>
      <c r="D120" s="59">
        <v>5.0000000000000001E-3</v>
      </c>
      <c r="E120" s="1">
        <f t="shared" ref="E120" si="18">+(C120-C$7)/C$8</f>
        <v>6344.9848730973172</v>
      </c>
      <c r="F120" s="1">
        <f t="shared" si="17"/>
        <v>6345</v>
      </c>
      <c r="G120" s="1">
        <f t="shared" ref="G120" si="19">+C120-(C$7+F120*C$8)</f>
        <v>-1.8055499785987195E-2</v>
      </c>
      <c r="K120" s="1">
        <f t="shared" ref="K120" si="20">+G120</f>
        <v>-1.8055499785987195E-2</v>
      </c>
      <c r="O120" s="1">
        <f t="shared" ref="O120" ca="1" si="21">+C$11+C$12*$F120</f>
        <v>-1.8457760097243051E-2</v>
      </c>
      <c r="Q120" s="58">
        <f t="shared" ref="Q120" si="22">+C120-15018.5</f>
        <v>45056.007000000216</v>
      </c>
    </row>
  </sheetData>
  <sheetProtection selectLockedCells="1" selectUnlockedCells="1"/>
  <sortState xmlns:xlrd2="http://schemas.microsoft.com/office/spreadsheetml/2017/richdata2" ref="A21:U119">
    <sortCondition ref="C21:C11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7"/>
  <sheetViews>
    <sheetView topLeftCell="A45" workbookViewId="0">
      <selection activeCell="A24" sqref="A24"/>
    </sheetView>
  </sheetViews>
  <sheetFormatPr defaultRowHeight="12.75" x14ac:dyDescent="0.2"/>
  <cols>
    <col min="1" max="1" width="19.7109375" style="27" customWidth="1"/>
    <col min="2" max="2" width="4.42578125" customWidth="1"/>
    <col min="3" max="3" width="12.7109375" style="27" customWidth="1"/>
    <col min="4" max="4" width="5.42578125" customWidth="1"/>
    <col min="5" max="5" width="14.85546875" customWidth="1"/>
    <col min="7" max="7" width="12" customWidth="1"/>
    <col min="8" max="8" width="14.140625" style="2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6" t="s">
        <v>102</v>
      </c>
      <c r="I1" s="47" t="s">
        <v>103</v>
      </c>
      <c r="J1" s="48" t="s">
        <v>38</v>
      </c>
    </row>
    <row r="2" spans="1:16" x14ac:dyDescent="0.2">
      <c r="I2" s="49" t="s">
        <v>104</v>
      </c>
      <c r="J2" s="50" t="s">
        <v>37</v>
      </c>
    </row>
    <row r="3" spans="1:16" x14ac:dyDescent="0.2">
      <c r="A3" s="51" t="s">
        <v>105</v>
      </c>
      <c r="I3" s="49" t="s">
        <v>106</v>
      </c>
      <c r="J3" s="50" t="s">
        <v>35</v>
      </c>
    </row>
    <row r="4" spans="1:16" x14ac:dyDescent="0.2">
      <c r="I4" s="49" t="s">
        <v>107</v>
      </c>
      <c r="J4" s="50" t="s">
        <v>35</v>
      </c>
    </row>
    <row r="5" spans="1:16" x14ac:dyDescent="0.2">
      <c r="I5" s="52" t="s">
        <v>108</v>
      </c>
      <c r="J5" s="53" t="s">
        <v>36</v>
      </c>
    </row>
    <row r="11" spans="1:16" ht="12.75" customHeight="1" x14ac:dyDescent="0.2">
      <c r="A11" s="27" t="str">
        <f t="shared" ref="A11:A42" si="0">P11</f>
        <v>IBVS 5690 </v>
      </c>
      <c r="B11" s="4" t="str">
        <f t="shared" ref="B11:B42" si="1">IF(H11=INT(H11),"I","II")</f>
        <v>I</v>
      </c>
      <c r="C11" s="27">
        <f t="shared" ref="C11:C42" si="2">1*G11</f>
        <v>53515.681900000003</v>
      </c>
      <c r="D11" t="str">
        <f t="shared" ref="D11:D42" si="3">VLOOKUP(F11,I$1:J$5,2,FALSE)</f>
        <v>PE</v>
      </c>
      <c r="E11">
        <f>VLOOKUP(C11,Active!C$21:E$970,3,FALSE)</f>
        <v>849.99940097280682</v>
      </c>
      <c r="F11" s="4" t="str">
        <f>LEFT(M11,1)</f>
        <v>E</v>
      </c>
      <c r="G11" t="str">
        <f t="shared" ref="G11:G42" si="4">MID(I11,3,LEN(I11)-3)</f>
        <v>53515.6819</v>
      </c>
      <c r="H11" s="27">
        <f t="shared" ref="H11:H42" si="5">1*K11</f>
        <v>9165</v>
      </c>
      <c r="I11" s="54" t="s">
        <v>109</v>
      </c>
      <c r="J11" s="55" t="s">
        <v>110</v>
      </c>
      <c r="K11" s="54">
        <v>9165</v>
      </c>
      <c r="L11" s="54" t="s">
        <v>111</v>
      </c>
      <c r="M11" s="55" t="s">
        <v>112</v>
      </c>
      <c r="N11" s="55" t="s">
        <v>113</v>
      </c>
      <c r="O11" s="56" t="s">
        <v>114</v>
      </c>
      <c r="P11" s="57" t="s">
        <v>115</v>
      </c>
    </row>
    <row r="12" spans="1:16" ht="12.75" customHeight="1" x14ac:dyDescent="0.2">
      <c r="A12" s="27" t="str">
        <f t="shared" si="0"/>
        <v>JAAVSO 36(2);186 </v>
      </c>
      <c r="B12" s="4" t="str">
        <f t="shared" si="1"/>
        <v>I</v>
      </c>
      <c r="C12" s="27">
        <f t="shared" si="2"/>
        <v>54588.729700000004</v>
      </c>
      <c r="D12" t="str">
        <f t="shared" si="3"/>
        <v>vis</v>
      </c>
      <c r="E12">
        <f>VLOOKUP(C12,Active!C$21:E$970,3,FALSE)</f>
        <v>1748.9991428465423</v>
      </c>
      <c r="F12" s="4" t="s">
        <v>108</v>
      </c>
      <c r="G12" t="str">
        <f t="shared" si="4"/>
        <v>54588.7297</v>
      </c>
      <c r="H12" s="27">
        <f t="shared" si="5"/>
        <v>10064</v>
      </c>
      <c r="I12" s="54" t="s">
        <v>116</v>
      </c>
      <c r="J12" s="55" t="s">
        <v>117</v>
      </c>
      <c r="K12" s="54">
        <v>10064</v>
      </c>
      <c r="L12" s="54" t="s">
        <v>118</v>
      </c>
      <c r="M12" s="55" t="s">
        <v>119</v>
      </c>
      <c r="N12" s="55" t="s">
        <v>120</v>
      </c>
      <c r="O12" s="56" t="s">
        <v>121</v>
      </c>
      <c r="P12" s="57" t="s">
        <v>122</v>
      </c>
    </row>
    <row r="13" spans="1:16" ht="12.75" customHeight="1" x14ac:dyDescent="0.2">
      <c r="A13" s="27" t="str">
        <f t="shared" si="0"/>
        <v> JAAVSO 38;85 </v>
      </c>
      <c r="B13" s="4" t="str">
        <f t="shared" si="1"/>
        <v>I</v>
      </c>
      <c r="C13" s="27">
        <f t="shared" si="2"/>
        <v>54933.682399999998</v>
      </c>
      <c r="D13" t="str">
        <f t="shared" si="3"/>
        <v>vis</v>
      </c>
      <c r="E13">
        <f>VLOOKUP(C13,Active!C$21:E$970,3,FALSE)</f>
        <v>2038.0006097510391</v>
      </c>
      <c r="F13" s="4" t="s">
        <v>108</v>
      </c>
      <c r="G13" t="str">
        <f t="shared" si="4"/>
        <v>54933.6824</v>
      </c>
      <c r="H13" s="27">
        <f t="shared" si="5"/>
        <v>10353</v>
      </c>
      <c r="I13" s="54" t="s">
        <v>123</v>
      </c>
      <c r="J13" s="55" t="s">
        <v>124</v>
      </c>
      <c r="K13" s="54">
        <v>10353</v>
      </c>
      <c r="L13" s="54" t="s">
        <v>125</v>
      </c>
      <c r="M13" s="55" t="s">
        <v>119</v>
      </c>
      <c r="N13" s="55" t="s">
        <v>126</v>
      </c>
      <c r="O13" s="56" t="s">
        <v>127</v>
      </c>
      <c r="P13" s="56" t="s">
        <v>128</v>
      </c>
    </row>
    <row r="14" spans="1:16" ht="12.75" customHeight="1" x14ac:dyDescent="0.2">
      <c r="A14" s="27" t="str">
        <f t="shared" si="0"/>
        <v> JAAVSO 39;94 </v>
      </c>
      <c r="B14" s="4" t="str">
        <f t="shared" si="1"/>
        <v>I</v>
      </c>
      <c r="C14" s="27">
        <f t="shared" si="2"/>
        <v>55309.669500000004</v>
      </c>
      <c r="D14" t="str">
        <f t="shared" si="3"/>
        <v>vis</v>
      </c>
      <c r="E14">
        <f>VLOOKUP(C14,Active!C$21:E$970,3,FALSE)</f>
        <v>2353.0027055084315</v>
      </c>
      <c r="F14" s="4" t="s">
        <v>108</v>
      </c>
      <c r="G14" t="str">
        <f t="shared" si="4"/>
        <v>55309.6695</v>
      </c>
      <c r="H14" s="27">
        <f t="shared" si="5"/>
        <v>10668</v>
      </c>
      <c r="I14" s="54" t="s">
        <v>129</v>
      </c>
      <c r="J14" s="55" t="s">
        <v>130</v>
      </c>
      <c r="K14" s="54">
        <v>10668</v>
      </c>
      <c r="L14" s="54" t="s">
        <v>131</v>
      </c>
      <c r="M14" s="55" t="s">
        <v>119</v>
      </c>
      <c r="N14" s="55" t="s">
        <v>126</v>
      </c>
      <c r="O14" s="56" t="s">
        <v>127</v>
      </c>
      <c r="P14" s="56" t="s">
        <v>132</v>
      </c>
    </row>
    <row r="15" spans="1:16" ht="12.75" customHeight="1" x14ac:dyDescent="0.2">
      <c r="A15" s="27" t="str">
        <f t="shared" si="0"/>
        <v>OEJV 0160 </v>
      </c>
      <c r="B15" s="4" t="str">
        <f t="shared" si="1"/>
        <v>I</v>
      </c>
      <c r="C15" s="27">
        <f t="shared" si="2"/>
        <v>55629.55631</v>
      </c>
      <c r="D15" t="str">
        <f t="shared" si="3"/>
        <v>vis</v>
      </c>
      <c r="E15">
        <f>VLOOKUP(C15,Active!C$21:E$970,3,FALSE)</f>
        <v>2621.003962879081</v>
      </c>
      <c r="F15" s="4" t="s">
        <v>108</v>
      </c>
      <c r="G15" t="str">
        <f t="shared" si="4"/>
        <v>55629.55631</v>
      </c>
      <c r="H15" s="27">
        <f t="shared" si="5"/>
        <v>10936</v>
      </c>
      <c r="I15" s="54" t="s">
        <v>133</v>
      </c>
      <c r="J15" s="55" t="s">
        <v>134</v>
      </c>
      <c r="K15" s="54">
        <v>10936</v>
      </c>
      <c r="L15" s="54" t="s">
        <v>135</v>
      </c>
      <c r="M15" s="55" t="s">
        <v>119</v>
      </c>
      <c r="N15" s="55" t="s">
        <v>136</v>
      </c>
      <c r="O15" s="56" t="s">
        <v>137</v>
      </c>
      <c r="P15" s="57" t="s">
        <v>138</v>
      </c>
    </row>
    <row r="16" spans="1:16" ht="12.75" customHeight="1" x14ac:dyDescent="0.2">
      <c r="A16" s="27" t="str">
        <f t="shared" si="0"/>
        <v>OEJV 0160 </v>
      </c>
      <c r="B16" s="4" t="str">
        <f t="shared" si="1"/>
        <v>I</v>
      </c>
      <c r="C16" s="27">
        <f t="shared" si="2"/>
        <v>55629.556550000001</v>
      </c>
      <c r="D16" t="str">
        <f t="shared" si="3"/>
        <v>vis</v>
      </c>
      <c r="E16">
        <f>VLOOKUP(C16,Active!C$21:E$970,3,FALSE)</f>
        <v>2621.0041639511483</v>
      </c>
      <c r="F16" s="4" t="s">
        <v>108</v>
      </c>
      <c r="G16" t="str">
        <f t="shared" si="4"/>
        <v>55629.55655</v>
      </c>
      <c r="H16" s="27">
        <f t="shared" si="5"/>
        <v>10936</v>
      </c>
      <c r="I16" s="54" t="s">
        <v>139</v>
      </c>
      <c r="J16" s="55" t="s">
        <v>134</v>
      </c>
      <c r="K16" s="54">
        <v>10936</v>
      </c>
      <c r="L16" s="54" t="s">
        <v>140</v>
      </c>
      <c r="M16" s="55" t="s">
        <v>119</v>
      </c>
      <c r="N16" s="55" t="s">
        <v>141</v>
      </c>
      <c r="O16" s="56" t="s">
        <v>137</v>
      </c>
      <c r="P16" s="57" t="s">
        <v>138</v>
      </c>
    </row>
    <row r="17" spans="1:16" ht="12.75" customHeight="1" x14ac:dyDescent="0.2">
      <c r="A17" s="27" t="str">
        <f t="shared" si="0"/>
        <v>OEJV 0160 </v>
      </c>
      <c r="B17" s="4" t="str">
        <f t="shared" si="1"/>
        <v>I</v>
      </c>
      <c r="C17" s="27">
        <f t="shared" si="2"/>
        <v>55629.556750000003</v>
      </c>
      <c r="D17" t="str">
        <f t="shared" si="3"/>
        <v>vis</v>
      </c>
      <c r="E17">
        <f>VLOOKUP(C17,Active!C$21:E$970,3,FALSE)</f>
        <v>2621.0043315112052</v>
      </c>
      <c r="F17" s="4" t="s">
        <v>108</v>
      </c>
      <c r="G17" t="str">
        <f t="shared" si="4"/>
        <v>55629.55675</v>
      </c>
      <c r="H17" s="27">
        <f t="shared" si="5"/>
        <v>10936</v>
      </c>
      <c r="I17" s="54" t="s">
        <v>142</v>
      </c>
      <c r="J17" s="55" t="s">
        <v>134</v>
      </c>
      <c r="K17" s="54">
        <v>10936</v>
      </c>
      <c r="L17" s="54" t="s">
        <v>143</v>
      </c>
      <c r="M17" s="55" t="s">
        <v>119</v>
      </c>
      <c r="N17" s="55" t="s">
        <v>108</v>
      </c>
      <c r="O17" s="56" t="s">
        <v>137</v>
      </c>
      <c r="P17" s="57" t="s">
        <v>138</v>
      </c>
    </row>
    <row r="18" spans="1:16" ht="12.75" customHeight="1" x14ac:dyDescent="0.2">
      <c r="A18" s="27" t="str">
        <f t="shared" si="0"/>
        <v>OEJV 0160 </v>
      </c>
      <c r="B18" s="4" t="str">
        <f t="shared" si="1"/>
        <v>I</v>
      </c>
      <c r="C18" s="27">
        <f t="shared" si="2"/>
        <v>55629.556779999999</v>
      </c>
      <c r="D18" t="str">
        <f t="shared" si="3"/>
        <v>vis</v>
      </c>
      <c r="E18">
        <f>VLOOKUP(C18,Active!C$21:E$970,3,FALSE)</f>
        <v>2621.0043566452096</v>
      </c>
      <c r="F18" s="4" t="s">
        <v>108</v>
      </c>
      <c r="G18" t="str">
        <f t="shared" si="4"/>
        <v>55629.55678</v>
      </c>
      <c r="H18" s="27">
        <f t="shared" si="5"/>
        <v>10936</v>
      </c>
      <c r="I18" s="54" t="s">
        <v>144</v>
      </c>
      <c r="J18" s="55" t="s">
        <v>134</v>
      </c>
      <c r="K18" s="54">
        <v>10936</v>
      </c>
      <c r="L18" s="54" t="s">
        <v>145</v>
      </c>
      <c r="M18" s="55" t="s">
        <v>119</v>
      </c>
      <c r="N18" s="55" t="s">
        <v>47</v>
      </c>
      <c r="O18" s="56" t="s">
        <v>137</v>
      </c>
      <c r="P18" s="57" t="s">
        <v>138</v>
      </c>
    </row>
    <row r="19" spans="1:16" ht="12.75" customHeight="1" x14ac:dyDescent="0.2">
      <c r="A19" s="27" t="str">
        <f t="shared" si="0"/>
        <v>OEJV 0160 </v>
      </c>
      <c r="B19" s="4" t="str">
        <f t="shared" si="1"/>
        <v>I</v>
      </c>
      <c r="C19" s="27">
        <f t="shared" si="2"/>
        <v>56011.513299999999</v>
      </c>
      <c r="D19" t="str">
        <f t="shared" si="3"/>
        <v>vis</v>
      </c>
      <c r="E19">
        <f>VLOOKUP(C19,Active!C$21:E$970,3,FALSE)</f>
        <v>2941.0076341198851</v>
      </c>
      <c r="F19" s="4" t="s">
        <v>108</v>
      </c>
      <c r="G19" t="str">
        <f t="shared" si="4"/>
        <v>56011.5133</v>
      </c>
      <c r="H19" s="27">
        <f t="shared" si="5"/>
        <v>11256</v>
      </c>
      <c r="I19" s="54" t="s">
        <v>146</v>
      </c>
      <c r="J19" s="55" t="s">
        <v>147</v>
      </c>
      <c r="K19" s="54">
        <v>11256</v>
      </c>
      <c r="L19" s="54" t="s">
        <v>148</v>
      </c>
      <c r="M19" s="55" t="s">
        <v>119</v>
      </c>
      <c r="N19" s="55" t="s">
        <v>141</v>
      </c>
      <c r="O19" s="56" t="s">
        <v>137</v>
      </c>
      <c r="P19" s="57" t="s">
        <v>138</v>
      </c>
    </row>
    <row r="20" spans="1:16" ht="12.75" customHeight="1" x14ac:dyDescent="0.2">
      <c r="A20" s="27" t="str">
        <f t="shared" si="0"/>
        <v>OEJV 0160 </v>
      </c>
      <c r="B20" s="4" t="str">
        <f t="shared" si="1"/>
        <v>I</v>
      </c>
      <c r="C20" s="27">
        <f t="shared" si="2"/>
        <v>56011.51339</v>
      </c>
      <c r="D20" t="str">
        <f t="shared" si="3"/>
        <v>vis</v>
      </c>
      <c r="E20">
        <f>VLOOKUP(C20,Active!C$21:E$970,3,FALSE)</f>
        <v>2941.0077095219108</v>
      </c>
      <c r="F20" s="4" t="s">
        <v>108</v>
      </c>
      <c r="G20" t="str">
        <f t="shared" si="4"/>
        <v>56011.51339</v>
      </c>
      <c r="H20" s="27">
        <f t="shared" si="5"/>
        <v>11256</v>
      </c>
      <c r="I20" s="54" t="s">
        <v>149</v>
      </c>
      <c r="J20" s="55" t="s">
        <v>147</v>
      </c>
      <c r="K20" s="54">
        <v>11256</v>
      </c>
      <c r="L20" s="54" t="s">
        <v>150</v>
      </c>
      <c r="M20" s="55" t="s">
        <v>119</v>
      </c>
      <c r="N20" s="55" t="s">
        <v>108</v>
      </c>
      <c r="O20" s="56" t="s">
        <v>137</v>
      </c>
      <c r="P20" s="57" t="s">
        <v>138</v>
      </c>
    </row>
    <row r="21" spans="1:16" ht="12.75" customHeight="1" x14ac:dyDescent="0.2">
      <c r="A21" s="27" t="str">
        <f t="shared" si="0"/>
        <v>OEJV 0160 </v>
      </c>
      <c r="B21" s="4" t="str">
        <f t="shared" si="1"/>
        <v>I</v>
      </c>
      <c r="C21" s="27">
        <f t="shared" si="2"/>
        <v>56011.513469999998</v>
      </c>
      <c r="D21" t="str">
        <f t="shared" si="3"/>
        <v>vis</v>
      </c>
      <c r="E21">
        <f>VLOOKUP(C21,Active!C$21:E$970,3,FALSE)</f>
        <v>2941.0077765459314</v>
      </c>
      <c r="F21" s="4" t="s">
        <v>108</v>
      </c>
      <c r="G21" t="str">
        <f t="shared" si="4"/>
        <v>56011.51347</v>
      </c>
      <c r="H21" s="27">
        <f t="shared" si="5"/>
        <v>11256</v>
      </c>
      <c r="I21" s="54" t="s">
        <v>151</v>
      </c>
      <c r="J21" s="55" t="s">
        <v>147</v>
      </c>
      <c r="K21" s="54">
        <v>11256</v>
      </c>
      <c r="L21" s="54" t="s">
        <v>152</v>
      </c>
      <c r="M21" s="55" t="s">
        <v>119</v>
      </c>
      <c r="N21" s="55" t="s">
        <v>47</v>
      </c>
      <c r="O21" s="56" t="s">
        <v>137</v>
      </c>
      <c r="P21" s="57" t="s">
        <v>138</v>
      </c>
    </row>
    <row r="22" spans="1:16" ht="12.75" customHeight="1" x14ac:dyDescent="0.2">
      <c r="A22" s="27" t="str">
        <f t="shared" si="0"/>
        <v>OEJV 0160 </v>
      </c>
      <c r="B22" s="4" t="str">
        <f t="shared" si="1"/>
        <v>I</v>
      </c>
      <c r="C22" s="27">
        <f t="shared" si="2"/>
        <v>56011.513619999998</v>
      </c>
      <c r="D22" t="str">
        <f t="shared" si="3"/>
        <v>vis</v>
      </c>
      <c r="E22">
        <f>VLOOKUP(C22,Active!C$21:E$970,3,FALSE)</f>
        <v>2941.0079022159721</v>
      </c>
      <c r="F22" s="4" t="s">
        <v>108</v>
      </c>
      <c r="G22" t="str">
        <f t="shared" si="4"/>
        <v>56011.51362</v>
      </c>
      <c r="H22" s="27">
        <f t="shared" si="5"/>
        <v>11256</v>
      </c>
      <c r="I22" s="54" t="s">
        <v>153</v>
      </c>
      <c r="J22" s="55" t="s">
        <v>147</v>
      </c>
      <c r="K22" s="54">
        <v>11256</v>
      </c>
      <c r="L22" s="54" t="s">
        <v>154</v>
      </c>
      <c r="M22" s="55" t="s">
        <v>119</v>
      </c>
      <c r="N22" s="55" t="s">
        <v>136</v>
      </c>
      <c r="O22" s="56" t="s">
        <v>137</v>
      </c>
      <c r="P22" s="57" t="s">
        <v>138</v>
      </c>
    </row>
    <row r="23" spans="1:16" ht="12.75" customHeight="1" x14ac:dyDescent="0.2">
      <c r="A23" s="27" t="str">
        <f t="shared" si="0"/>
        <v> JAAVSO 42;426 </v>
      </c>
      <c r="B23" s="4" t="str">
        <f t="shared" si="1"/>
        <v>I</v>
      </c>
      <c r="C23" s="27">
        <f t="shared" si="2"/>
        <v>56801.68</v>
      </c>
      <c r="D23" t="str">
        <f t="shared" si="3"/>
        <v>vis</v>
      </c>
      <c r="E23">
        <f>VLOOKUP(C23,Active!C$21:E$970,3,FALSE)</f>
        <v>3603.0095126356628</v>
      </c>
      <c r="F23" s="4" t="s">
        <v>108</v>
      </c>
      <c r="G23" t="str">
        <f t="shared" si="4"/>
        <v>56801.6800</v>
      </c>
      <c r="H23" s="27">
        <f t="shared" si="5"/>
        <v>11918</v>
      </c>
      <c r="I23" s="54" t="s">
        <v>155</v>
      </c>
      <c r="J23" s="55" t="s">
        <v>156</v>
      </c>
      <c r="K23" s="54">
        <v>11918</v>
      </c>
      <c r="L23" s="54" t="s">
        <v>157</v>
      </c>
      <c r="M23" s="55" t="s">
        <v>119</v>
      </c>
      <c r="N23" s="55" t="s">
        <v>108</v>
      </c>
      <c r="O23" s="56" t="s">
        <v>127</v>
      </c>
      <c r="P23" s="56" t="s">
        <v>158</v>
      </c>
    </row>
    <row r="24" spans="1:16" ht="12.75" customHeight="1" x14ac:dyDescent="0.2">
      <c r="A24" s="27" t="str">
        <f t="shared" si="0"/>
        <v> AA 26.346 </v>
      </c>
      <c r="B24" s="4" t="str">
        <f t="shared" si="1"/>
        <v>I</v>
      </c>
      <c r="C24" s="27">
        <f t="shared" si="2"/>
        <v>27551.396000000001</v>
      </c>
      <c r="D24" t="str">
        <f t="shared" si="3"/>
        <v>vis</v>
      </c>
      <c r="E24">
        <f>VLOOKUP(C24,Active!C$21:E$970,3,FALSE)</f>
        <v>-20902.886464909279</v>
      </c>
      <c r="F24" s="4" t="s">
        <v>108</v>
      </c>
      <c r="G24" t="str">
        <f t="shared" si="4"/>
        <v>27551.396</v>
      </c>
      <c r="H24" s="27">
        <f t="shared" si="5"/>
        <v>-12588</v>
      </c>
      <c r="I24" s="54" t="s">
        <v>159</v>
      </c>
      <c r="J24" s="55" t="s">
        <v>160</v>
      </c>
      <c r="K24" s="54">
        <v>-12588</v>
      </c>
      <c r="L24" s="54" t="s">
        <v>161</v>
      </c>
      <c r="M24" s="55" t="s">
        <v>162</v>
      </c>
      <c r="N24" s="55"/>
      <c r="O24" s="56" t="s">
        <v>163</v>
      </c>
      <c r="P24" s="56" t="s">
        <v>46</v>
      </c>
    </row>
    <row r="25" spans="1:16" ht="12.75" customHeight="1" x14ac:dyDescent="0.2">
      <c r="A25" s="27" t="str">
        <f t="shared" si="0"/>
        <v> AA 26.346 </v>
      </c>
      <c r="B25" s="4" t="str">
        <f t="shared" si="1"/>
        <v>I</v>
      </c>
      <c r="C25" s="27">
        <f t="shared" si="2"/>
        <v>27570.492999999999</v>
      </c>
      <c r="D25" t="str">
        <f t="shared" si="3"/>
        <v>vis</v>
      </c>
      <c r="E25">
        <f>VLOOKUP(C25,Active!C$21:E$970,3,FALSE)</f>
        <v>-20886.886993058575</v>
      </c>
      <c r="F25" s="4" t="s">
        <v>108</v>
      </c>
      <c r="G25" t="str">
        <f t="shared" si="4"/>
        <v>27570.493</v>
      </c>
      <c r="H25" s="27">
        <f t="shared" si="5"/>
        <v>-12572</v>
      </c>
      <c r="I25" s="54" t="s">
        <v>164</v>
      </c>
      <c r="J25" s="55" t="s">
        <v>165</v>
      </c>
      <c r="K25" s="54">
        <v>-12572</v>
      </c>
      <c r="L25" s="54" t="s">
        <v>166</v>
      </c>
      <c r="M25" s="55" t="s">
        <v>162</v>
      </c>
      <c r="N25" s="55"/>
      <c r="O25" s="56" t="s">
        <v>163</v>
      </c>
      <c r="P25" s="56" t="s">
        <v>46</v>
      </c>
    </row>
    <row r="26" spans="1:16" ht="12.75" customHeight="1" x14ac:dyDescent="0.2">
      <c r="A26" s="27" t="str">
        <f t="shared" si="0"/>
        <v> AA 26.346 </v>
      </c>
      <c r="B26" s="4" t="str">
        <f t="shared" si="1"/>
        <v>I</v>
      </c>
      <c r="C26" s="27">
        <f t="shared" si="2"/>
        <v>27927.368999999999</v>
      </c>
      <c r="D26" t="str">
        <f t="shared" si="3"/>
        <v>vis</v>
      </c>
      <c r="E26">
        <f>VLOOKUP(C26,Active!C$21:E$970,3,FALSE)</f>
        <v>-20587.89618213577</v>
      </c>
      <c r="F26" s="4" t="s">
        <v>108</v>
      </c>
      <c r="G26" t="str">
        <f t="shared" si="4"/>
        <v>27927.369</v>
      </c>
      <c r="H26" s="27">
        <f t="shared" si="5"/>
        <v>-12273</v>
      </c>
      <c r="I26" s="54" t="s">
        <v>167</v>
      </c>
      <c r="J26" s="55" t="s">
        <v>168</v>
      </c>
      <c r="K26" s="54">
        <v>-12273</v>
      </c>
      <c r="L26" s="54" t="s">
        <v>169</v>
      </c>
      <c r="M26" s="55" t="s">
        <v>162</v>
      </c>
      <c r="N26" s="55"/>
      <c r="O26" s="56" t="s">
        <v>163</v>
      </c>
      <c r="P26" s="56" t="s">
        <v>46</v>
      </c>
    </row>
    <row r="27" spans="1:16" ht="12.75" customHeight="1" x14ac:dyDescent="0.2">
      <c r="A27" s="27" t="str">
        <f t="shared" si="0"/>
        <v> AA 26.346 </v>
      </c>
      <c r="B27" s="4" t="str">
        <f t="shared" si="1"/>
        <v>I</v>
      </c>
      <c r="C27" s="27">
        <f t="shared" si="2"/>
        <v>28285.457999999999</v>
      </c>
      <c r="D27" t="str">
        <f t="shared" si="3"/>
        <v>vis</v>
      </c>
      <c r="E27">
        <f>VLOOKUP(C27,Active!C$21:E$970,3,FALSE)</f>
        <v>-20287.889119479452</v>
      </c>
      <c r="F27" s="4" t="s">
        <v>108</v>
      </c>
      <c r="G27" t="str">
        <f t="shared" si="4"/>
        <v>28285.458</v>
      </c>
      <c r="H27" s="27">
        <f t="shared" si="5"/>
        <v>-11973</v>
      </c>
      <c r="I27" s="54" t="s">
        <v>170</v>
      </c>
      <c r="J27" s="55" t="s">
        <v>171</v>
      </c>
      <c r="K27" s="54">
        <v>-11973</v>
      </c>
      <c r="L27" s="54" t="s">
        <v>166</v>
      </c>
      <c r="M27" s="55" t="s">
        <v>162</v>
      </c>
      <c r="N27" s="55"/>
      <c r="O27" s="56" t="s">
        <v>163</v>
      </c>
      <c r="P27" s="56" t="s">
        <v>46</v>
      </c>
    </row>
    <row r="28" spans="1:16" ht="12.75" customHeight="1" x14ac:dyDescent="0.2">
      <c r="A28" s="27" t="str">
        <f t="shared" si="0"/>
        <v> AA 26.346 </v>
      </c>
      <c r="B28" s="4" t="str">
        <f t="shared" si="1"/>
        <v>I</v>
      </c>
      <c r="C28" s="27">
        <f t="shared" si="2"/>
        <v>28346.329000000002</v>
      </c>
      <c r="D28" t="str">
        <f t="shared" si="3"/>
        <v>vis</v>
      </c>
      <c r="E28">
        <f>VLOOKUP(C28,Active!C$21:E$970,3,FALSE)</f>
        <v>-20236.891378943012</v>
      </c>
      <c r="F28" s="4" t="s">
        <v>108</v>
      </c>
      <c r="G28" t="str">
        <f t="shared" si="4"/>
        <v>28346.329</v>
      </c>
      <c r="H28" s="27">
        <f t="shared" si="5"/>
        <v>-11922</v>
      </c>
      <c r="I28" s="54" t="s">
        <v>172</v>
      </c>
      <c r="J28" s="55" t="s">
        <v>173</v>
      </c>
      <c r="K28" s="54">
        <v>-11922</v>
      </c>
      <c r="L28" s="54" t="s">
        <v>174</v>
      </c>
      <c r="M28" s="55" t="s">
        <v>162</v>
      </c>
      <c r="N28" s="55"/>
      <c r="O28" s="56" t="s">
        <v>175</v>
      </c>
      <c r="P28" s="56" t="s">
        <v>46</v>
      </c>
    </row>
    <row r="29" spans="1:16" ht="12.75" customHeight="1" x14ac:dyDescent="0.2">
      <c r="A29" s="27" t="str">
        <f t="shared" si="0"/>
        <v> AC 65.4 </v>
      </c>
      <c r="B29" s="4" t="str">
        <f t="shared" si="1"/>
        <v>I</v>
      </c>
      <c r="C29" s="27">
        <f t="shared" si="2"/>
        <v>30843.329000000002</v>
      </c>
      <c r="D29" t="str">
        <f t="shared" si="3"/>
        <v>vis</v>
      </c>
      <c r="E29">
        <f>VLOOKUP(C29,Active!C$21:E$970,3,FALSE)</f>
        <v>-18144.904092394623</v>
      </c>
      <c r="F29" s="4" t="s">
        <v>108</v>
      </c>
      <c r="G29" t="str">
        <f t="shared" si="4"/>
        <v>30843.329</v>
      </c>
      <c r="H29" s="27">
        <f t="shared" si="5"/>
        <v>-9830</v>
      </c>
      <c r="I29" s="54" t="s">
        <v>176</v>
      </c>
      <c r="J29" s="55" t="s">
        <v>177</v>
      </c>
      <c r="K29" s="54">
        <v>-9830</v>
      </c>
      <c r="L29" s="54" t="s">
        <v>169</v>
      </c>
      <c r="M29" s="55" t="s">
        <v>162</v>
      </c>
      <c r="N29" s="55"/>
      <c r="O29" s="56" t="s">
        <v>178</v>
      </c>
      <c r="P29" s="56" t="s">
        <v>48</v>
      </c>
    </row>
    <row r="30" spans="1:16" ht="12.75" customHeight="1" x14ac:dyDescent="0.2">
      <c r="A30" s="27" t="str">
        <f t="shared" si="0"/>
        <v> IODE 4.3.66 </v>
      </c>
      <c r="B30" s="4" t="str">
        <f t="shared" si="1"/>
        <v>I</v>
      </c>
      <c r="C30" s="27">
        <f t="shared" si="2"/>
        <v>31231.26</v>
      </c>
      <c r="D30" t="str">
        <f t="shared" si="3"/>
        <v>vis</v>
      </c>
      <c r="E30">
        <f>VLOOKUP(C30,Active!C$21:E$970,3,FALSE)</f>
        <v>-17819.895393933271</v>
      </c>
      <c r="F30" s="4" t="s">
        <v>108</v>
      </c>
      <c r="G30" t="str">
        <f t="shared" si="4"/>
        <v>31231.260</v>
      </c>
      <c r="H30" s="27">
        <f t="shared" si="5"/>
        <v>-9505</v>
      </c>
      <c r="I30" s="54" t="s">
        <v>179</v>
      </c>
      <c r="J30" s="55" t="s">
        <v>180</v>
      </c>
      <c r="K30" s="54">
        <v>-9505</v>
      </c>
      <c r="L30" s="54" t="s">
        <v>181</v>
      </c>
      <c r="M30" s="55" t="s">
        <v>162</v>
      </c>
      <c r="N30" s="55"/>
      <c r="O30" s="56" t="s">
        <v>182</v>
      </c>
      <c r="P30" s="56" t="s">
        <v>49</v>
      </c>
    </row>
    <row r="31" spans="1:16" ht="12.75" customHeight="1" x14ac:dyDescent="0.2">
      <c r="A31" s="27" t="str">
        <f t="shared" si="0"/>
        <v> IODE 4.3.66 </v>
      </c>
      <c r="B31" s="4" t="str">
        <f t="shared" si="1"/>
        <v>I</v>
      </c>
      <c r="C31" s="27">
        <f t="shared" si="2"/>
        <v>31256.313999999998</v>
      </c>
      <c r="D31" t="str">
        <f t="shared" si="3"/>
        <v>vis</v>
      </c>
      <c r="E31">
        <f>VLOOKUP(C31,Active!C$21:E$970,3,FALSE)</f>
        <v>-17798.905145844692</v>
      </c>
      <c r="F31" s="4" t="s">
        <v>108</v>
      </c>
      <c r="G31" t="str">
        <f t="shared" si="4"/>
        <v>31256.314</v>
      </c>
      <c r="H31" s="27">
        <f t="shared" si="5"/>
        <v>-9484</v>
      </c>
      <c r="I31" s="54" t="s">
        <v>183</v>
      </c>
      <c r="J31" s="55" t="s">
        <v>184</v>
      </c>
      <c r="K31" s="54">
        <v>-9484</v>
      </c>
      <c r="L31" s="54" t="s">
        <v>169</v>
      </c>
      <c r="M31" s="55" t="s">
        <v>162</v>
      </c>
      <c r="N31" s="55"/>
      <c r="O31" s="56" t="s">
        <v>182</v>
      </c>
      <c r="P31" s="56" t="s">
        <v>49</v>
      </c>
    </row>
    <row r="32" spans="1:16" ht="12.75" customHeight="1" x14ac:dyDescent="0.2">
      <c r="A32" s="27" t="str">
        <f t="shared" si="0"/>
        <v> IODE 4.3.66 </v>
      </c>
      <c r="B32" s="4" t="str">
        <f t="shared" si="1"/>
        <v>I</v>
      </c>
      <c r="C32" s="27">
        <f t="shared" si="2"/>
        <v>31262.284</v>
      </c>
      <c r="D32" t="str">
        <f t="shared" si="3"/>
        <v>vis</v>
      </c>
      <c r="E32">
        <f>VLOOKUP(C32,Active!C$21:E$970,3,FALSE)</f>
        <v>-17793.903478203243</v>
      </c>
      <c r="F32" s="4" t="s">
        <v>108</v>
      </c>
      <c r="G32" t="str">
        <f t="shared" si="4"/>
        <v>31262.284</v>
      </c>
      <c r="H32" s="27">
        <f t="shared" si="5"/>
        <v>-9479</v>
      </c>
      <c r="I32" s="54" t="s">
        <v>185</v>
      </c>
      <c r="J32" s="55" t="s">
        <v>186</v>
      </c>
      <c r="K32" s="54">
        <v>-9479</v>
      </c>
      <c r="L32" s="54" t="s">
        <v>187</v>
      </c>
      <c r="M32" s="55" t="s">
        <v>162</v>
      </c>
      <c r="N32" s="55"/>
      <c r="O32" s="56" t="s">
        <v>182</v>
      </c>
      <c r="P32" s="56" t="s">
        <v>49</v>
      </c>
    </row>
    <row r="33" spans="1:16" ht="12.75" customHeight="1" x14ac:dyDescent="0.2">
      <c r="A33" s="27" t="str">
        <f t="shared" si="0"/>
        <v> IODE 4.3.66 </v>
      </c>
      <c r="B33" s="4" t="str">
        <f t="shared" si="1"/>
        <v>I</v>
      </c>
      <c r="C33" s="27">
        <f t="shared" si="2"/>
        <v>31268.246999999999</v>
      </c>
      <c r="D33" t="str">
        <f t="shared" si="3"/>
        <v>vis</v>
      </c>
      <c r="E33">
        <f>VLOOKUP(C33,Active!C$21:E$970,3,FALSE)</f>
        <v>-17788.907675163722</v>
      </c>
      <c r="F33" s="4" t="s">
        <v>108</v>
      </c>
      <c r="G33" t="str">
        <f t="shared" si="4"/>
        <v>31268.247</v>
      </c>
      <c r="H33" s="27">
        <f t="shared" si="5"/>
        <v>-9474</v>
      </c>
      <c r="I33" s="54" t="s">
        <v>188</v>
      </c>
      <c r="J33" s="55" t="s">
        <v>189</v>
      </c>
      <c r="K33" s="54">
        <v>-9474</v>
      </c>
      <c r="L33" s="54" t="s">
        <v>190</v>
      </c>
      <c r="M33" s="55" t="s">
        <v>162</v>
      </c>
      <c r="N33" s="55"/>
      <c r="O33" s="56" t="s">
        <v>182</v>
      </c>
      <c r="P33" s="56" t="s">
        <v>49</v>
      </c>
    </row>
    <row r="34" spans="1:16" ht="12.75" customHeight="1" x14ac:dyDescent="0.2">
      <c r="A34" s="27" t="str">
        <f t="shared" si="0"/>
        <v> AA 26.346 </v>
      </c>
      <c r="B34" s="4" t="str">
        <f t="shared" si="1"/>
        <v>I</v>
      </c>
      <c r="C34" s="27">
        <f t="shared" si="2"/>
        <v>32262.522000000001</v>
      </c>
      <c r="D34" t="str">
        <f t="shared" si="3"/>
        <v>vis</v>
      </c>
      <c r="E34">
        <f>VLOOKUP(C34,Active!C$21:E$970,3,FALSE)</f>
        <v>-16955.903806788509</v>
      </c>
      <c r="F34" s="4" t="s">
        <v>108</v>
      </c>
      <c r="G34" t="str">
        <f t="shared" si="4"/>
        <v>32262.522</v>
      </c>
      <c r="H34" s="27">
        <f t="shared" si="5"/>
        <v>-8641</v>
      </c>
      <c r="I34" s="54" t="s">
        <v>191</v>
      </c>
      <c r="J34" s="55" t="s">
        <v>192</v>
      </c>
      <c r="K34" s="54">
        <v>-8641</v>
      </c>
      <c r="L34" s="54" t="s">
        <v>193</v>
      </c>
      <c r="M34" s="55" t="s">
        <v>162</v>
      </c>
      <c r="N34" s="55"/>
      <c r="O34" s="56" t="s">
        <v>175</v>
      </c>
      <c r="P34" s="56" t="s">
        <v>46</v>
      </c>
    </row>
    <row r="35" spans="1:16" ht="12.75" customHeight="1" x14ac:dyDescent="0.2">
      <c r="A35" s="27" t="str">
        <f t="shared" si="0"/>
        <v> PZ 12.276 </v>
      </c>
      <c r="B35" s="4" t="str">
        <f t="shared" si="1"/>
        <v>I</v>
      </c>
      <c r="C35" s="27">
        <f t="shared" si="2"/>
        <v>32344.873</v>
      </c>
      <c r="D35" t="str">
        <f t="shared" si="3"/>
        <v>vis</v>
      </c>
      <c r="E35">
        <f>VLOOKUP(C35,Active!C$21:E$970,3,FALSE)</f>
        <v>-16886.91011634616</v>
      </c>
      <c r="F35" s="4" t="s">
        <v>108</v>
      </c>
      <c r="G35" t="str">
        <f t="shared" si="4"/>
        <v>32344.873</v>
      </c>
      <c r="H35" s="27">
        <f t="shared" si="5"/>
        <v>-8572</v>
      </c>
      <c r="I35" s="54" t="s">
        <v>194</v>
      </c>
      <c r="J35" s="55" t="s">
        <v>195</v>
      </c>
      <c r="K35" s="54">
        <v>-8572</v>
      </c>
      <c r="L35" s="54" t="s">
        <v>196</v>
      </c>
      <c r="M35" s="55" t="s">
        <v>162</v>
      </c>
      <c r="N35" s="55"/>
      <c r="O35" s="56" t="s">
        <v>178</v>
      </c>
      <c r="P35" s="56" t="s">
        <v>50</v>
      </c>
    </row>
    <row r="36" spans="1:16" ht="12.75" customHeight="1" x14ac:dyDescent="0.2">
      <c r="A36" s="27" t="str">
        <f t="shared" si="0"/>
        <v> AC 65.4 </v>
      </c>
      <c r="B36" s="4" t="str">
        <f t="shared" si="1"/>
        <v>I</v>
      </c>
      <c r="C36" s="27">
        <f t="shared" si="2"/>
        <v>32347.27</v>
      </c>
      <c r="D36" t="str">
        <f t="shared" si="3"/>
        <v>vis</v>
      </c>
      <c r="E36">
        <f>VLOOKUP(C36,Active!C$21:E$970,3,FALSE)</f>
        <v>-16884.901909087108</v>
      </c>
      <c r="F36" s="4" t="s">
        <v>108</v>
      </c>
      <c r="G36" t="str">
        <f t="shared" si="4"/>
        <v>32347.270</v>
      </c>
      <c r="H36" s="27">
        <f t="shared" si="5"/>
        <v>-8570</v>
      </c>
      <c r="I36" s="54" t="s">
        <v>197</v>
      </c>
      <c r="J36" s="55" t="s">
        <v>198</v>
      </c>
      <c r="K36" s="54">
        <v>-8570</v>
      </c>
      <c r="L36" s="54" t="s">
        <v>174</v>
      </c>
      <c r="M36" s="55" t="s">
        <v>162</v>
      </c>
      <c r="N36" s="55"/>
      <c r="O36" s="56" t="s">
        <v>178</v>
      </c>
      <c r="P36" s="56" t="s">
        <v>48</v>
      </c>
    </row>
    <row r="37" spans="1:16" ht="12.75" customHeight="1" x14ac:dyDescent="0.2">
      <c r="A37" s="27" t="str">
        <f t="shared" si="0"/>
        <v> AAC 4.118 </v>
      </c>
      <c r="B37" s="4" t="str">
        <f t="shared" si="1"/>
        <v>I</v>
      </c>
      <c r="C37" s="27">
        <f t="shared" si="2"/>
        <v>32674.315999999999</v>
      </c>
      <c r="D37" t="str">
        <f t="shared" si="3"/>
        <v>vis</v>
      </c>
      <c r="E37">
        <f>VLOOKUP(C37,Active!C$21:E$970,3,FALSE)</f>
        <v>-16610.902680366042</v>
      </c>
      <c r="F37" s="4" t="s">
        <v>108</v>
      </c>
      <c r="G37" t="str">
        <f t="shared" si="4"/>
        <v>32674.316</v>
      </c>
      <c r="H37" s="27">
        <f t="shared" si="5"/>
        <v>-8296</v>
      </c>
      <c r="I37" s="54" t="s">
        <v>199</v>
      </c>
      <c r="J37" s="55" t="s">
        <v>200</v>
      </c>
      <c r="K37" s="54">
        <v>-8296</v>
      </c>
      <c r="L37" s="54" t="s">
        <v>174</v>
      </c>
      <c r="M37" s="55" t="s">
        <v>162</v>
      </c>
      <c r="N37" s="55"/>
      <c r="O37" s="56" t="s">
        <v>201</v>
      </c>
      <c r="P37" s="56" t="s">
        <v>51</v>
      </c>
    </row>
    <row r="38" spans="1:16" ht="12.75" customHeight="1" x14ac:dyDescent="0.2">
      <c r="A38" s="27" t="str">
        <f t="shared" si="0"/>
        <v> AA 6.145 </v>
      </c>
      <c r="B38" s="4" t="str">
        <f t="shared" si="1"/>
        <v>I</v>
      </c>
      <c r="C38" s="27">
        <f t="shared" si="2"/>
        <v>33063.438000000002</v>
      </c>
      <c r="D38" t="str">
        <f t="shared" si="3"/>
        <v>vis</v>
      </c>
      <c r="E38">
        <f>VLOOKUP(C38,Active!C$21:E$970,3,FALSE)</f>
        <v>-16284.89616177722</v>
      </c>
      <c r="F38" s="4" t="s">
        <v>108</v>
      </c>
      <c r="G38" t="str">
        <f t="shared" si="4"/>
        <v>33063.438</v>
      </c>
      <c r="H38" s="27">
        <f t="shared" si="5"/>
        <v>-7970</v>
      </c>
      <c r="I38" s="54" t="s">
        <v>202</v>
      </c>
      <c r="J38" s="55" t="s">
        <v>203</v>
      </c>
      <c r="K38" s="54">
        <v>-7970</v>
      </c>
      <c r="L38" s="54" t="s">
        <v>204</v>
      </c>
      <c r="M38" s="55" t="s">
        <v>162</v>
      </c>
      <c r="N38" s="55"/>
      <c r="O38" s="56" t="s">
        <v>201</v>
      </c>
      <c r="P38" s="56" t="s">
        <v>52</v>
      </c>
    </row>
    <row r="39" spans="1:16" ht="12.75" customHeight="1" x14ac:dyDescent="0.2">
      <c r="A39" s="27" t="str">
        <f t="shared" si="0"/>
        <v>IBVS 344 </v>
      </c>
      <c r="B39" s="4" t="str">
        <f t="shared" si="1"/>
        <v>I</v>
      </c>
      <c r="C39" s="27">
        <f t="shared" si="2"/>
        <v>40025.695</v>
      </c>
      <c r="D39" t="str">
        <f t="shared" si="3"/>
        <v>vis</v>
      </c>
      <c r="E39">
        <f>VLOOKUP(C39,Active!C$21:E$970,3,FALSE)</f>
        <v>-10451.915332909573</v>
      </c>
      <c r="F39" s="4" t="s">
        <v>108</v>
      </c>
      <c r="G39" t="str">
        <f t="shared" si="4"/>
        <v>40025.695</v>
      </c>
      <c r="H39" s="27">
        <f t="shared" si="5"/>
        <v>-2137</v>
      </c>
      <c r="I39" s="54" t="s">
        <v>205</v>
      </c>
      <c r="J39" s="55" t="s">
        <v>206</v>
      </c>
      <c r="K39" s="54">
        <v>-2137</v>
      </c>
      <c r="L39" s="54" t="s">
        <v>207</v>
      </c>
      <c r="M39" s="55" t="s">
        <v>112</v>
      </c>
      <c r="N39" s="55" t="s">
        <v>113</v>
      </c>
      <c r="O39" s="56" t="s">
        <v>208</v>
      </c>
      <c r="P39" s="57" t="s">
        <v>209</v>
      </c>
    </row>
    <row r="40" spans="1:16" ht="12.75" customHeight="1" x14ac:dyDescent="0.2">
      <c r="A40" s="27" t="str">
        <f t="shared" si="0"/>
        <v> BBS 14 </v>
      </c>
      <c r="B40" s="4" t="str">
        <f t="shared" si="1"/>
        <v>I</v>
      </c>
      <c r="C40" s="27">
        <f t="shared" si="2"/>
        <v>42109.701999999997</v>
      </c>
      <c r="D40" t="str">
        <f t="shared" si="3"/>
        <v>vis</v>
      </c>
      <c r="E40">
        <f>VLOOKUP(C40,Active!C$21:E$970,3,FALSE)</f>
        <v>-8705.9336953133225</v>
      </c>
      <c r="F40" s="4" t="s">
        <v>108</v>
      </c>
      <c r="G40" t="str">
        <f t="shared" si="4"/>
        <v>42109.702</v>
      </c>
      <c r="H40" s="27">
        <f t="shared" si="5"/>
        <v>-391</v>
      </c>
      <c r="I40" s="54" t="s">
        <v>210</v>
      </c>
      <c r="J40" s="55" t="s">
        <v>211</v>
      </c>
      <c r="K40" s="54">
        <v>-391</v>
      </c>
      <c r="L40" s="54" t="s">
        <v>212</v>
      </c>
      <c r="M40" s="55" t="s">
        <v>162</v>
      </c>
      <c r="N40" s="55"/>
      <c r="O40" s="56" t="s">
        <v>213</v>
      </c>
      <c r="P40" s="56" t="s">
        <v>54</v>
      </c>
    </row>
    <row r="41" spans="1:16" ht="12.75" customHeight="1" x14ac:dyDescent="0.2">
      <c r="A41" s="27" t="str">
        <f t="shared" si="0"/>
        <v> BBS 14 </v>
      </c>
      <c r="B41" s="4" t="str">
        <f t="shared" si="1"/>
        <v>I</v>
      </c>
      <c r="C41" s="27">
        <f t="shared" si="2"/>
        <v>42127.616000000002</v>
      </c>
      <c r="D41" t="str">
        <f t="shared" si="3"/>
        <v>vis</v>
      </c>
      <c r="E41">
        <f>VLOOKUP(C41,Active!C$21:E$970,3,FALSE)</f>
        <v>-8690.9253411878763</v>
      </c>
      <c r="F41" s="4" t="s">
        <v>108</v>
      </c>
      <c r="G41" t="str">
        <f t="shared" si="4"/>
        <v>42127.616</v>
      </c>
      <c r="H41" s="27">
        <f t="shared" si="5"/>
        <v>-376</v>
      </c>
      <c r="I41" s="54" t="s">
        <v>214</v>
      </c>
      <c r="J41" s="55" t="s">
        <v>215</v>
      </c>
      <c r="K41" s="54">
        <v>-376</v>
      </c>
      <c r="L41" s="54" t="s">
        <v>161</v>
      </c>
      <c r="M41" s="55" t="s">
        <v>162</v>
      </c>
      <c r="N41" s="55"/>
      <c r="O41" s="56" t="s">
        <v>213</v>
      </c>
      <c r="P41" s="56" t="s">
        <v>54</v>
      </c>
    </row>
    <row r="42" spans="1:16" ht="12.75" customHeight="1" x14ac:dyDescent="0.2">
      <c r="A42" s="27" t="str">
        <f t="shared" si="0"/>
        <v> BBS 15 </v>
      </c>
      <c r="B42" s="4" t="str">
        <f t="shared" si="1"/>
        <v>I</v>
      </c>
      <c r="C42" s="27">
        <f t="shared" si="2"/>
        <v>42194.451999999997</v>
      </c>
      <c r="D42" t="str">
        <f t="shared" si="3"/>
        <v>vis</v>
      </c>
      <c r="E42">
        <f>VLOOKUP(C42,Active!C$21:E$970,3,FALSE)</f>
        <v>-8634.9301220113684</v>
      </c>
      <c r="F42" s="4" t="s">
        <v>108</v>
      </c>
      <c r="G42" t="str">
        <f t="shared" si="4"/>
        <v>42194.452</v>
      </c>
      <c r="H42" s="27">
        <f t="shared" si="5"/>
        <v>-320</v>
      </c>
      <c r="I42" s="54" t="s">
        <v>216</v>
      </c>
      <c r="J42" s="55" t="s">
        <v>217</v>
      </c>
      <c r="K42" s="54">
        <v>-320</v>
      </c>
      <c r="L42" s="54" t="s">
        <v>193</v>
      </c>
      <c r="M42" s="55" t="s">
        <v>162</v>
      </c>
      <c r="N42" s="55"/>
      <c r="O42" s="56" t="s">
        <v>213</v>
      </c>
      <c r="P42" s="56" t="s">
        <v>55</v>
      </c>
    </row>
    <row r="43" spans="1:16" ht="12.75" customHeight="1" x14ac:dyDescent="0.2">
      <c r="A43" s="27" t="str">
        <f t="shared" ref="A43:A74" si="6">P43</f>
        <v> BBS 19 </v>
      </c>
      <c r="B43" s="4" t="str">
        <f t="shared" ref="B43:B74" si="7">IF(H43=INT(H43),"I","II")</f>
        <v>I</v>
      </c>
      <c r="C43" s="27">
        <f t="shared" ref="C43:C74" si="8">1*G43</f>
        <v>42405.718999999997</v>
      </c>
      <c r="D43" t="str">
        <f t="shared" ref="D43:D74" si="9">VLOOKUP(F43,I$1:J$5,2,FALSE)</f>
        <v>vis</v>
      </c>
      <c r="E43">
        <f>VLOOKUP(C43,Active!C$21:E$970,3,FALSE)</f>
        <v>-8457.9305713236572</v>
      </c>
      <c r="F43" s="4" t="s">
        <v>108</v>
      </c>
      <c r="G43" t="str">
        <f t="shared" ref="G43:G74" si="10">MID(I43,3,LEN(I43)-3)</f>
        <v>42405.719</v>
      </c>
      <c r="H43" s="27">
        <f t="shared" ref="H43:H74" si="11">1*K43</f>
        <v>-143</v>
      </c>
      <c r="I43" s="54" t="s">
        <v>218</v>
      </c>
      <c r="J43" s="55" t="s">
        <v>219</v>
      </c>
      <c r="K43" s="54">
        <v>-143</v>
      </c>
      <c r="L43" s="54" t="s">
        <v>220</v>
      </c>
      <c r="M43" s="55" t="s">
        <v>162</v>
      </c>
      <c r="N43" s="55"/>
      <c r="O43" s="56" t="s">
        <v>213</v>
      </c>
      <c r="P43" s="56" t="s">
        <v>56</v>
      </c>
    </row>
    <row r="44" spans="1:16" ht="12.75" customHeight="1" x14ac:dyDescent="0.2">
      <c r="A44" s="27" t="str">
        <f t="shared" si="6"/>
        <v> BBS 21 </v>
      </c>
      <c r="B44" s="4" t="str">
        <f t="shared" si="7"/>
        <v>I</v>
      </c>
      <c r="C44" s="27">
        <f t="shared" si="8"/>
        <v>42460.62</v>
      </c>
      <c r="D44" t="str">
        <f t="shared" si="9"/>
        <v>vis</v>
      </c>
      <c r="E44">
        <f>VLOOKUP(C44,Active!C$21:E$970,3,FALSE)</f>
        <v>-8411.9344984286618</v>
      </c>
      <c r="F44" s="4" t="s">
        <v>108</v>
      </c>
      <c r="G44" t="str">
        <f t="shared" si="10"/>
        <v>42460.620</v>
      </c>
      <c r="H44" s="27">
        <f t="shared" si="11"/>
        <v>-97</v>
      </c>
      <c r="I44" s="54" t="s">
        <v>221</v>
      </c>
      <c r="J44" s="55" t="s">
        <v>222</v>
      </c>
      <c r="K44" s="54">
        <v>-97</v>
      </c>
      <c r="L44" s="54" t="s">
        <v>212</v>
      </c>
      <c r="M44" s="55" t="s">
        <v>162</v>
      </c>
      <c r="N44" s="55"/>
      <c r="O44" s="56" t="s">
        <v>213</v>
      </c>
      <c r="P44" s="56" t="s">
        <v>57</v>
      </c>
    </row>
    <row r="45" spans="1:16" ht="12.75" customHeight="1" x14ac:dyDescent="0.2">
      <c r="A45" s="27" t="str">
        <f t="shared" si="6"/>
        <v> BBS 21 </v>
      </c>
      <c r="B45" s="4" t="str">
        <f t="shared" si="7"/>
        <v>I</v>
      </c>
      <c r="C45" s="27">
        <f t="shared" si="8"/>
        <v>42466.593999999997</v>
      </c>
      <c r="D45" t="str">
        <f t="shared" si="9"/>
        <v>vis</v>
      </c>
      <c r="E45">
        <f>VLOOKUP(C45,Active!C$21:E$970,3,FALSE)</f>
        <v>-8406.9294795861188</v>
      </c>
      <c r="F45" s="4" t="s">
        <v>108</v>
      </c>
      <c r="G45" t="str">
        <f t="shared" si="10"/>
        <v>42466.594</v>
      </c>
      <c r="H45" s="27">
        <f t="shared" si="11"/>
        <v>-92</v>
      </c>
      <c r="I45" s="54" t="s">
        <v>223</v>
      </c>
      <c r="J45" s="55" t="s">
        <v>224</v>
      </c>
      <c r="K45" s="54">
        <v>-92</v>
      </c>
      <c r="L45" s="54" t="s">
        <v>225</v>
      </c>
      <c r="M45" s="55" t="s">
        <v>162</v>
      </c>
      <c r="N45" s="55"/>
      <c r="O45" s="56" t="s">
        <v>213</v>
      </c>
      <c r="P45" s="56" t="s">
        <v>57</v>
      </c>
    </row>
    <row r="46" spans="1:16" ht="12.75" customHeight="1" x14ac:dyDescent="0.2">
      <c r="A46" s="27" t="str">
        <f t="shared" si="6"/>
        <v> BBS 21 </v>
      </c>
      <c r="B46" s="4" t="str">
        <f t="shared" si="7"/>
        <v>I</v>
      </c>
      <c r="C46" s="27">
        <f t="shared" si="8"/>
        <v>42478.540999999997</v>
      </c>
      <c r="D46" t="str">
        <f t="shared" si="9"/>
        <v>vis</v>
      </c>
      <c r="E46">
        <f>VLOOKUP(C46,Active!C$21:E$970,3,FALSE)</f>
        <v>-8396.9202797012986</v>
      </c>
      <c r="F46" s="4" t="s">
        <v>108</v>
      </c>
      <c r="G46" t="str">
        <f t="shared" si="10"/>
        <v>42478.541</v>
      </c>
      <c r="H46" s="27">
        <f t="shared" si="11"/>
        <v>-82</v>
      </c>
      <c r="I46" s="54" t="s">
        <v>226</v>
      </c>
      <c r="J46" s="55" t="s">
        <v>227</v>
      </c>
      <c r="K46" s="54">
        <v>-82</v>
      </c>
      <c r="L46" s="54" t="s">
        <v>228</v>
      </c>
      <c r="M46" s="55" t="s">
        <v>162</v>
      </c>
      <c r="N46" s="55"/>
      <c r="O46" s="56" t="s">
        <v>213</v>
      </c>
      <c r="P46" s="56" t="s">
        <v>57</v>
      </c>
    </row>
    <row r="47" spans="1:16" ht="12.75" customHeight="1" x14ac:dyDescent="0.2">
      <c r="A47" s="27" t="str">
        <f t="shared" si="6"/>
        <v> BBS 22 </v>
      </c>
      <c r="B47" s="4" t="str">
        <f t="shared" si="7"/>
        <v>I</v>
      </c>
      <c r="C47" s="27">
        <f t="shared" si="8"/>
        <v>42509.574000000001</v>
      </c>
      <c r="D47" t="str">
        <f t="shared" si="9"/>
        <v>vis</v>
      </c>
      <c r="E47">
        <f>VLOOKUP(C47,Active!C$21:E$970,3,FALSE)</f>
        <v>-8370.9208237687944</v>
      </c>
      <c r="F47" s="4" t="s">
        <v>108</v>
      </c>
      <c r="G47" t="str">
        <f t="shared" si="10"/>
        <v>42509.574</v>
      </c>
      <c r="H47" s="27">
        <f t="shared" si="11"/>
        <v>-56</v>
      </c>
      <c r="I47" s="54" t="s">
        <v>229</v>
      </c>
      <c r="J47" s="55" t="s">
        <v>230</v>
      </c>
      <c r="K47" s="54">
        <v>-56</v>
      </c>
      <c r="L47" s="54" t="s">
        <v>204</v>
      </c>
      <c r="M47" s="55" t="s">
        <v>162</v>
      </c>
      <c r="N47" s="55"/>
      <c r="O47" s="56" t="s">
        <v>213</v>
      </c>
      <c r="P47" s="56" t="s">
        <v>58</v>
      </c>
    </row>
    <row r="48" spans="1:16" ht="12.75" customHeight="1" x14ac:dyDescent="0.2">
      <c r="A48" s="27" t="str">
        <f t="shared" si="6"/>
        <v> BBS 22 </v>
      </c>
      <c r="B48" s="4" t="str">
        <f t="shared" si="7"/>
        <v>I</v>
      </c>
      <c r="C48" s="27">
        <f t="shared" si="8"/>
        <v>42521.508999999998</v>
      </c>
      <c r="D48" t="str">
        <f t="shared" si="9"/>
        <v>vis</v>
      </c>
      <c r="E48">
        <f>VLOOKUP(C48,Active!C$21:E$970,3,FALSE)</f>
        <v>-8360.9216774872766</v>
      </c>
      <c r="F48" s="4" t="s">
        <v>108</v>
      </c>
      <c r="G48" t="str">
        <f t="shared" si="10"/>
        <v>42521.509</v>
      </c>
      <c r="H48" s="27">
        <f t="shared" si="11"/>
        <v>-46</v>
      </c>
      <c r="I48" s="54" t="s">
        <v>231</v>
      </c>
      <c r="J48" s="55" t="s">
        <v>232</v>
      </c>
      <c r="K48" s="54">
        <v>-46</v>
      </c>
      <c r="L48" s="54" t="s">
        <v>204</v>
      </c>
      <c r="M48" s="55" t="s">
        <v>162</v>
      </c>
      <c r="N48" s="55"/>
      <c r="O48" s="56" t="s">
        <v>213</v>
      </c>
      <c r="P48" s="56" t="s">
        <v>58</v>
      </c>
    </row>
    <row r="49" spans="1:16" ht="12.75" customHeight="1" x14ac:dyDescent="0.2">
      <c r="A49" s="27" t="str">
        <f t="shared" si="6"/>
        <v> BBS 22 </v>
      </c>
      <c r="B49" s="4" t="str">
        <f t="shared" si="7"/>
        <v>I</v>
      </c>
      <c r="C49" s="27">
        <f t="shared" si="8"/>
        <v>42545.370999999999</v>
      </c>
      <c r="D49" t="str">
        <f t="shared" si="9"/>
        <v>vis</v>
      </c>
      <c r="E49">
        <f>VLOOKUP(C49,Active!C$21:E$970,3,FALSE)</f>
        <v>-8340.9300873264365</v>
      </c>
      <c r="F49" s="4" t="s">
        <v>108</v>
      </c>
      <c r="G49" t="str">
        <f t="shared" si="10"/>
        <v>42545.371</v>
      </c>
      <c r="H49" s="27">
        <f t="shared" si="11"/>
        <v>-26</v>
      </c>
      <c r="I49" s="54" t="s">
        <v>233</v>
      </c>
      <c r="J49" s="55" t="s">
        <v>234</v>
      </c>
      <c r="K49" s="54">
        <v>-26</v>
      </c>
      <c r="L49" s="54" t="s">
        <v>225</v>
      </c>
      <c r="M49" s="55" t="s">
        <v>162</v>
      </c>
      <c r="N49" s="55"/>
      <c r="O49" s="56" t="s">
        <v>213</v>
      </c>
      <c r="P49" s="56" t="s">
        <v>58</v>
      </c>
    </row>
    <row r="50" spans="1:16" ht="12.75" customHeight="1" x14ac:dyDescent="0.2">
      <c r="A50" s="27" t="str">
        <f t="shared" si="6"/>
        <v> BBS 23 </v>
      </c>
      <c r="B50" s="4" t="str">
        <f t="shared" si="7"/>
        <v>I</v>
      </c>
      <c r="C50" s="27">
        <f t="shared" si="8"/>
        <v>42570.442000000003</v>
      </c>
      <c r="D50" t="str">
        <f t="shared" si="9"/>
        <v>vis</v>
      </c>
      <c r="E50">
        <f>VLOOKUP(C50,Active!C$21:E$970,3,FALSE)</f>
        <v>-8319.9255966331802</v>
      </c>
      <c r="F50" s="4" t="s">
        <v>108</v>
      </c>
      <c r="G50" t="str">
        <f t="shared" si="10"/>
        <v>42570.442</v>
      </c>
      <c r="H50" s="27">
        <f t="shared" si="11"/>
        <v>-5</v>
      </c>
      <c r="I50" s="54" t="s">
        <v>235</v>
      </c>
      <c r="J50" s="55" t="s">
        <v>236</v>
      </c>
      <c r="K50" s="54">
        <v>-5</v>
      </c>
      <c r="L50" s="54" t="s">
        <v>181</v>
      </c>
      <c r="M50" s="55" t="s">
        <v>162</v>
      </c>
      <c r="N50" s="55"/>
      <c r="O50" s="56" t="s">
        <v>213</v>
      </c>
      <c r="P50" s="56" t="s">
        <v>59</v>
      </c>
    </row>
    <row r="51" spans="1:16" ht="12.75" customHeight="1" x14ac:dyDescent="0.2">
      <c r="A51" s="27" t="str">
        <f t="shared" si="6"/>
        <v> BBS 23 </v>
      </c>
      <c r="B51" s="4" t="str">
        <f t="shared" si="7"/>
        <v>I</v>
      </c>
      <c r="C51" s="27">
        <f t="shared" si="8"/>
        <v>42576.408000000003</v>
      </c>
      <c r="D51" t="str">
        <f t="shared" si="9"/>
        <v>vis</v>
      </c>
      <c r="E51">
        <f>VLOOKUP(C51,Active!C$21:E$970,3,FALSE)</f>
        <v>-8314.9272801928309</v>
      </c>
      <c r="F51" s="4" t="s">
        <v>108</v>
      </c>
      <c r="G51" t="str">
        <f t="shared" si="10"/>
        <v>42576.408</v>
      </c>
      <c r="H51" s="27">
        <f t="shared" si="11"/>
        <v>0</v>
      </c>
      <c r="I51" s="54" t="s">
        <v>237</v>
      </c>
      <c r="J51" s="55" t="s">
        <v>238</v>
      </c>
      <c r="K51" s="54">
        <v>0</v>
      </c>
      <c r="L51" s="54" t="s">
        <v>166</v>
      </c>
      <c r="M51" s="55" t="s">
        <v>162</v>
      </c>
      <c r="N51" s="55"/>
      <c r="O51" s="56" t="s">
        <v>213</v>
      </c>
      <c r="P51" s="56" t="s">
        <v>59</v>
      </c>
    </row>
    <row r="52" spans="1:16" ht="12.75" customHeight="1" x14ac:dyDescent="0.2">
      <c r="A52" s="27" t="str">
        <f t="shared" si="6"/>
        <v> BBS 23 </v>
      </c>
      <c r="B52" s="4" t="str">
        <f t="shared" si="7"/>
        <v>I</v>
      </c>
      <c r="C52" s="27">
        <f t="shared" si="8"/>
        <v>42576.408000000003</v>
      </c>
      <c r="D52" t="str">
        <f t="shared" si="9"/>
        <v>vis</v>
      </c>
      <c r="E52">
        <f>VLOOKUP(C52,Active!C$21:E$970,3,FALSE)</f>
        <v>-8314.9272801928309</v>
      </c>
      <c r="F52" s="4" t="s">
        <v>108</v>
      </c>
      <c r="G52" t="str">
        <f t="shared" si="10"/>
        <v>42576.408</v>
      </c>
      <c r="H52" s="27">
        <f t="shared" si="11"/>
        <v>0</v>
      </c>
      <c r="I52" s="54" t="s">
        <v>237</v>
      </c>
      <c r="J52" s="55" t="s">
        <v>238</v>
      </c>
      <c r="K52" s="54">
        <v>0</v>
      </c>
      <c r="L52" s="54" t="s">
        <v>166</v>
      </c>
      <c r="M52" s="55" t="s">
        <v>162</v>
      </c>
      <c r="N52" s="55"/>
      <c r="O52" s="56" t="s">
        <v>239</v>
      </c>
      <c r="P52" s="56" t="s">
        <v>59</v>
      </c>
    </row>
    <row r="53" spans="1:16" ht="12.75" customHeight="1" x14ac:dyDescent="0.2">
      <c r="A53" s="27" t="str">
        <f t="shared" si="6"/>
        <v> BBS 26 </v>
      </c>
      <c r="B53" s="4" t="str">
        <f t="shared" si="7"/>
        <v>I</v>
      </c>
      <c r="C53" s="27">
        <f t="shared" si="8"/>
        <v>42787.669000000002</v>
      </c>
      <c r="D53" t="str">
        <f t="shared" si="9"/>
        <v>vis</v>
      </c>
      <c r="E53">
        <f>VLOOKUP(C53,Active!C$21:E$970,3,FALSE)</f>
        <v>-8137.93275630677</v>
      </c>
      <c r="F53" s="4" t="s">
        <v>108</v>
      </c>
      <c r="G53" t="str">
        <f t="shared" si="10"/>
        <v>42787.669</v>
      </c>
      <c r="H53" s="27">
        <f t="shared" si="11"/>
        <v>177</v>
      </c>
      <c r="I53" s="54" t="s">
        <v>240</v>
      </c>
      <c r="J53" s="55" t="s">
        <v>241</v>
      </c>
      <c r="K53" s="54">
        <v>177</v>
      </c>
      <c r="L53" s="54" t="s">
        <v>242</v>
      </c>
      <c r="M53" s="55" t="s">
        <v>162</v>
      </c>
      <c r="N53" s="55"/>
      <c r="O53" s="56" t="s">
        <v>213</v>
      </c>
      <c r="P53" s="56" t="s">
        <v>60</v>
      </c>
    </row>
    <row r="54" spans="1:16" ht="12.75" customHeight="1" x14ac:dyDescent="0.2">
      <c r="A54" s="27" t="str">
        <f t="shared" si="6"/>
        <v> BBS 27 </v>
      </c>
      <c r="B54" s="4" t="str">
        <f t="shared" si="7"/>
        <v>I</v>
      </c>
      <c r="C54" s="27">
        <f t="shared" si="8"/>
        <v>42866.45</v>
      </c>
      <c r="D54" t="str">
        <f t="shared" si="9"/>
        <v>vis</v>
      </c>
      <c r="E54">
        <f>VLOOKUP(C54,Active!C$21:E$970,3,FALSE)</f>
        <v>-8071.9300128459936</v>
      </c>
      <c r="F54" s="4" t="s">
        <v>108</v>
      </c>
      <c r="G54" t="str">
        <f t="shared" si="10"/>
        <v>42866.450</v>
      </c>
      <c r="H54" s="27">
        <f t="shared" si="11"/>
        <v>243</v>
      </c>
      <c r="I54" s="54" t="s">
        <v>243</v>
      </c>
      <c r="J54" s="55" t="s">
        <v>244</v>
      </c>
      <c r="K54" s="54">
        <v>243</v>
      </c>
      <c r="L54" s="54" t="s">
        <v>174</v>
      </c>
      <c r="M54" s="55" t="s">
        <v>162</v>
      </c>
      <c r="N54" s="55"/>
      <c r="O54" s="56" t="s">
        <v>239</v>
      </c>
      <c r="P54" s="56" t="s">
        <v>61</v>
      </c>
    </row>
    <row r="55" spans="1:16" ht="12.75" customHeight="1" x14ac:dyDescent="0.2">
      <c r="A55" s="27" t="str">
        <f t="shared" si="6"/>
        <v> BBS 27 </v>
      </c>
      <c r="B55" s="4" t="str">
        <f t="shared" si="7"/>
        <v>I</v>
      </c>
      <c r="C55" s="27">
        <f t="shared" si="8"/>
        <v>42866.466</v>
      </c>
      <c r="D55" t="str">
        <f t="shared" si="9"/>
        <v>vis</v>
      </c>
      <c r="E55">
        <f>VLOOKUP(C55,Active!C$21:E$970,3,FALSE)</f>
        <v>-8071.9166080415916</v>
      </c>
      <c r="F55" s="4" t="s">
        <v>108</v>
      </c>
      <c r="G55" t="str">
        <f t="shared" si="10"/>
        <v>42866.466</v>
      </c>
      <c r="H55" s="27">
        <f t="shared" si="11"/>
        <v>243</v>
      </c>
      <c r="I55" s="54" t="s">
        <v>245</v>
      </c>
      <c r="J55" s="55" t="s">
        <v>246</v>
      </c>
      <c r="K55" s="54">
        <v>243</v>
      </c>
      <c r="L55" s="54" t="s">
        <v>247</v>
      </c>
      <c r="M55" s="55" t="s">
        <v>162</v>
      </c>
      <c r="N55" s="55"/>
      <c r="O55" s="56" t="s">
        <v>213</v>
      </c>
      <c r="P55" s="56" t="s">
        <v>61</v>
      </c>
    </row>
    <row r="56" spans="1:16" ht="12.75" customHeight="1" x14ac:dyDescent="0.2">
      <c r="A56" s="27" t="str">
        <f t="shared" si="6"/>
        <v> BBS 28 </v>
      </c>
      <c r="B56" s="4" t="str">
        <f t="shared" si="7"/>
        <v>I</v>
      </c>
      <c r="C56" s="27">
        <f t="shared" si="8"/>
        <v>42915.392</v>
      </c>
      <c r="D56" t="str">
        <f t="shared" si="9"/>
        <v>vis</v>
      </c>
      <c r="E56">
        <f>VLOOKUP(C56,Active!C$21:E$970,3,FALSE)</f>
        <v>-8030.9263917894232</v>
      </c>
      <c r="F56" s="4" t="s">
        <v>108</v>
      </c>
      <c r="G56" t="str">
        <f t="shared" si="10"/>
        <v>42915.392</v>
      </c>
      <c r="H56" s="27">
        <f t="shared" si="11"/>
        <v>284</v>
      </c>
      <c r="I56" s="54" t="s">
        <v>248</v>
      </c>
      <c r="J56" s="55" t="s">
        <v>249</v>
      </c>
      <c r="K56" s="54">
        <v>284</v>
      </c>
      <c r="L56" s="54" t="s">
        <v>181</v>
      </c>
      <c r="M56" s="55" t="s">
        <v>162</v>
      </c>
      <c r="N56" s="55"/>
      <c r="O56" s="56" t="s">
        <v>213</v>
      </c>
      <c r="P56" s="56" t="s">
        <v>62</v>
      </c>
    </row>
    <row r="57" spans="1:16" ht="12.75" customHeight="1" x14ac:dyDescent="0.2">
      <c r="A57" s="27" t="str">
        <f t="shared" si="6"/>
        <v> BBS 32 </v>
      </c>
      <c r="B57" s="4" t="str">
        <f t="shared" si="7"/>
        <v>I</v>
      </c>
      <c r="C57" s="27">
        <f t="shared" si="8"/>
        <v>43157.686999999998</v>
      </c>
      <c r="D57" t="str">
        <f t="shared" si="9"/>
        <v>vis</v>
      </c>
      <c r="E57">
        <f>VLOOKUP(C57,Active!C$21:E$970,3,FALSE)</f>
        <v>-7827.931574170585</v>
      </c>
      <c r="F57" s="4" t="s">
        <v>108</v>
      </c>
      <c r="G57" t="str">
        <f t="shared" si="10"/>
        <v>43157.687</v>
      </c>
      <c r="H57" s="27">
        <f t="shared" si="11"/>
        <v>487</v>
      </c>
      <c r="I57" s="54" t="s">
        <v>250</v>
      </c>
      <c r="J57" s="55" t="s">
        <v>251</v>
      </c>
      <c r="K57" s="54">
        <v>487</v>
      </c>
      <c r="L57" s="54" t="s">
        <v>225</v>
      </c>
      <c r="M57" s="55" t="s">
        <v>162</v>
      </c>
      <c r="N57" s="55"/>
      <c r="O57" s="56" t="s">
        <v>213</v>
      </c>
      <c r="P57" s="56" t="s">
        <v>63</v>
      </c>
    </row>
    <row r="58" spans="1:16" ht="12.75" customHeight="1" x14ac:dyDescent="0.2">
      <c r="A58" s="27" t="str">
        <f t="shared" si="6"/>
        <v> AOEB 9 </v>
      </c>
      <c r="B58" s="4" t="str">
        <f t="shared" si="7"/>
        <v>I</v>
      </c>
      <c r="C58" s="27">
        <f t="shared" si="8"/>
        <v>43262.724000000002</v>
      </c>
      <c r="D58" t="str">
        <f t="shared" si="9"/>
        <v>vis</v>
      </c>
      <c r="E58">
        <f>VLOOKUP(C58,Active!C$21:E$970,3,FALSE)</f>
        <v>-7739.9315466907328</v>
      </c>
      <c r="F58" s="4" t="s">
        <v>108</v>
      </c>
      <c r="G58" t="str">
        <f t="shared" si="10"/>
        <v>43262.724</v>
      </c>
      <c r="H58" s="27">
        <f t="shared" si="11"/>
        <v>575</v>
      </c>
      <c r="I58" s="54" t="s">
        <v>252</v>
      </c>
      <c r="J58" s="55" t="s">
        <v>253</v>
      </c>
      <c r="K58" s="54">
        <v>575</v>
      </c>
      <c r="L58" s="54" t="s">
        <v>225</v>
      </c>
      <c r="M58" s="55" t="s">
        <v>162</v>
      </c>
      <c r="N58" s="55"/>
      <c r="O58" s="56" t="s">
        <v>127</v>
      </c>
      <c r="P58" s="56" t="s">
        <v>64</v>
      </c>
    </row>
    <row r="59" spans="1:16" ht="12.75" customHeight="1" x14ac:dyDescent="0.2">
      <c r="A59" s="27" t="str">
        <f t="shared" si="6"/>
        <v> BBS 37 </v>
      </c>
      <c r="B59" s="4" t="str">
        <f t="shared" si="7"/>
        <v>I</v>
      </c>
      <c r="C59" s="27">
        <f t="shared" si="8"/>
        <v>43655.411999999997</v>
      </c>
      <c r="D59" t="str">
        <f t="shared" si="9"/>
        <v>vis</v>
      </c>
      <c r="E59">
        <f>VLOOKUP(C59,Active!C$21:E$970,3,FALSE)</f>
        <v>-7410.9374323214488</v>
      </c>
      <c r="F59" s="4" t="s">
        <v>108</v>
      </c>
      <c r="G59" t="str">
        <f t="shared" si="10"/>
        <v>43655.412</v>
      </c>
      <c r="H59" s="27">
        <f t="shared" si="11"/>
        <v>904</v>
      </c>
      <c r="I59" s="54" t="s">
        <v>254</v>
      </c>
      <c r="J59" s="55" t="s">
        <v>255</v>
      </c>
      <c r="K59" s="54">
        <v>904</v>
      </c>
      <c r="L59" s="54" t="s">
        <v>212</v>
      </c>
      <c r="M59" s="55" t="s">
        <v>162</v>
      </c>
      <c r="N59" s="55"/>
      <c r="O59" s="56" t="s">
        <v>213</v>
      </c>
      <c r="P59" s="56" t="s">
        <v>65</v>
      </c>
    </row>
    <row r="60" spans="1:16" ht="12.75" customHeight="1" x14ac:dyDescent="0.2">
      <c r="A60" s="27" t="str">
        <f t="shared" si="6"/>
        <v> BBS 43 </v>
      </c>
      <c r="B60" s="4" t="str">
        <f t="shared" si="7"/>
        <v>I</v>
      </c>
      <c r="C60" s="27">
        <f t="shared" si="8"/>
        <v>43988.436000000002</v>
      </c>
      <c r="D60" t="str">
        <f t="shared" si="9"/>
        <v>vis</v>
      </c>
      <c r="E60">
        <f>VLOOKUP(C60,Active!C$21:E$970,3,FALSE)</f>
        <v>-7131.929833556731</v>
      </c>
      <c r="F60" s="4" t="s">
        <v>108</v>
      </c>
      <c r="G60" t="str">
        <f t="shared" si="10"/>
        <v>43988.436</v>
      </c>
      <c r="H60" s="27">
        <f t="shared" si="11"/>
        <v>1183</v>
      </c>
      <c r="I60" s="54" t="s">
        <v>256</v>
      </c>
      <c r="J60" s="55" t="s">
        <v>257</v>
      </c>
      <c r="K60" s="54">
        <v>1183</v>
      </c>
      <c r="L60" s="54" t="s">
        <v>161</v>
      </c>
      <c r="M60" s="55" t="s">
        <v>162</v>
      </c>
      <c r="N60" s="55"/>
      <c r="O60" s="56" t="s">
        <v>239</v>
      </c>
      <c r="P60" s="56" t="s">
        <v>66</v>
      </c>
    </row>
    <row r="61" spans="1:16" ht="12.75" customHeight="1" x14ac:dyDescent="0.2">
      <c r="A61" s="27" t="str">
        <f t="shared" si="6"/>
        <v> BBS 48 </v>
      </c>
      <c r="B61" s="4" t="str">
        <f t="shared" si="7"/>
        <v>I</v>
      </c>
      <c r="C61" s="27">
        <f t="shared" si="8"/>
        <v>44395.444000000003</v>
      </c>
      <c r="D61" t="str">
        <f t="shared" si="9"/>
        <v>vis</v>
      </c>
      <c r="E61">
        <f>VLOOKUP(C61,Active!C$21:E$970,3,FALSE)</f>
        <v>-6790.9384192501675</v>
      </c>
      <c r="F61" s="4" t="s">
        <v>108</v>
      </c>
      <c r="G61" t="str">
        <f t="shared" si="10"/>
        <v>44395.444</v>
      </c>
      <c r="H61" s="27">
        <f t="shared" si="11"/>
        <v>1524</v>
      </c>
      <c r="I61" s="54" t="s">
        <v>258</v>
      </c>
      <c r="J61" s="55" t="s">
        <v>259</v>
      </c>
      <c r="K61" s="54">
        <v>1524</v>
      </c>
      <c r="L61" s="54" t="s">
        <v>187</v>
      </c>
      <c r="M61" s="55" t="s">
        <v>162</v>
      </c>
      <c r="N61" s="55"/>
      <c r="O61" s="56" t="s">
        <v>239</v>
      </c>
      <c r="P61" s="56" t="s">
        <v>67</v>
      </c>
    </row>
    <row r="62" spans="1:16" ht="12.75" customHeight="1" x14ac:dyDescent="0.2">
      <c r="A62" s="27" t="str">
        <f t="shared" si="6"/>
        <v> AOEB 9 </v>
      </c>
      <c r="B62" s="4" t="str">
        <f t="shared" si="7"/>
        <v>I</v>
      </c>
      <c r="C62" s="27">
        <f t="shared" si="8"/>
        <v>44766.665000000001</v>
      </c>
      <c r="D62" t="str">
        <f t="shared" si="9"/>
        <v>vis</v>
      </c>
      <c r="E62">
        <f>VLOOKUP(C62,Active!C$21:E$970,3,FALSE)</f>
        <v>-6479.9293633832167</v>
      </c>
      <c r="F62" s="4" t="s">
        <v>108</v>
      </c>
      <c r="G62" t="str">
        <f t="shared" si="10"/>
        <v>44766.665</v>
      </c>
      <c r="H62" s="27">
        <f t="shared" si="11"/>
        <v>1835</v>
      </c>
      <c r="I62" s="54" t="s">
        <v>260</v>
      </c>
      <c r="J62" s="55" t="s">
        <v>261</v>
      </c>
      <c r="K62" s="54">
        <v>1835</v>
      </c>
      <c r="L62" s="54" t="s">
        <v>262</v>
      </c>
      <c r="M62" s="55" t="s">
        <v>162</v>
      </c>
      <c r="N62" s="55"/>
      <c r="O62" s="56" t="s">
        <v>127</v>
      </c>
      <c r="P62" s="56" t="s">
        <v>64</v>
      </c>
    </row>
    <row r="63" spans="1:16" ht="12.75" customHeight="1" x14ac:dyDescent="0.2">
      <c r="A63" s="27" t="str">
        <f t="shared" si="6"/>
        <v> BBS 60 </v>
      </c>
      <c r="B63" s="4" t="str">
        <f t="shared" si="7"/>
        <v>I</v>
      </c>
      <c r="C63" s="27">
        <f t="shared" si="8"/>
        <v>45092.514000000003</v>
      </c>
      <c r="D63" t="str">
        <f t="shared" si="9"/>
        <v>vis</v>
      </c>
      <c r="E63">
        <f>VLOOKUP(C63,Active!C$21:E$970,3,FALSE)</f>
        <v>-6206.9329815912624</v>
      </c>
      <c r="F63" s="4" t="s">
        <v>108</v>
      </c>
      <c r="G63" t="str">
        <f t="shared" si="10"/>
        <v>45092.514</v>
      </c>
      <c r="H63" s="27">
        <f t="shared" si="11"/>
        <v>2108</v>
      </c>
      <c r="I63" s="54" t="s">
        <v>263</v>
      </c>
      <c r="J63" s="55" t="s">
        <v>264</v>
      </c>
      <c r="K63" s="54">
        <v>2108</v>
      </c>
      <c r="L63" s="54" t="s">
        <v>161</v>
      </c>
      <c r="M63" s="55" t="s">
        <v>162</v>
      </c>
      <c r="N63" s="55"/>
      <c r="O63" s="56" t="s">
        <v>213</v>
      </c>
      <c r="P63" s="56" t="s">
        <v>68</v>
      </c>
    </row>
    <row r="64" spans="1:16" ht="12.75" customHeight="1" x14ac:dyDescent="0.2">
      <c r="A64" s="27" t="str">
        <f t="shared" si="6"/>
        <v> BBS 60 </v>
      </c>
      <c r="B64" s="4" t="str">
        <f t="shared" si="7"/>
        <v>I</v>
      </c>
      <c r="C64" s="27">
        <f t="shared" si="8"/>
        <v>45104.44</v>
      </c>
      <c r="D64" t="str">
        <f t="shared" si="9"/>
        <v>vis</v>
      </c>
      <c r="E64">
        <f>VLOOKUP(C64,Active!C$21:E$970,3,FALSE)</f>
        <v>-6196.9413755122177</v>
      </c>
      <c r="F64" s="4" t="s">
        <v>108</v>
      </c>
      <c r="G64" t="str">
        <f t="shared" si="10"/>
        <v>45104.440</v>
      </c>
      <c r="H64" s="27">
        <f t="shared" si="11"/>
        <v>2118</v>
      </c>
      <c r="I64" s="54" t="s">
        <v>265</v>
      </c>
      <c r="J64" s="55" t="s">
        <v>266</v>
      </c>
      <c r="K64" s="54">
        <v>2118</v>
      </c>
      <c r="L64" s="54" t="s">
        <v>212</v>
      </c>
      <c r="M64" s="55" t="s">
        <v>162</v>
      </c>
      <c r="N64" s="55"/>
      <c r="O64" s="56" t="s">
        <v>239</v>
      </c>
      <c r="P64" s="56" t="s">
        <v>68</v>
      </c>
    </row>
    <row r="65" spans="1:16" ht="12.75" customHeight="1" x14ac:dyDescent="0.2">
      <c r="A65" s="27" t="str">
        <f t="shared" si="6"/>
        <v> BBS 60 </v>
      </c>
      <c r="B65" s="4" t="str">
        <f t="shared" si="7"/>
        <v>I</v>
      </c>
      <c r="C65" s="27">
        <f t="shared" si="8"/>
        <v>45116.379000000001</v>
      </c>
      <c r="D65" t="str">
        <f t="shared" si="9"/>
        <v>vis</v>
      </c>
      <c r="E65">
        <f>VLOOKUP(C65,Active!C$21:E$970,3,FALSE)</f>
        <v>-6186.9388780295994</v>
      </c>
      <c r="F65" s="4" t="s">
        <v>108</v>
      </c>
      <c r="G65" t="str">
        <f t="shared" si="10"/>
        <v>45116.379</v>
      </c>
      <c r="H65" s="27">
        <f t="shared" si="11"/>
        <v>2128</v>
      </c>
      <c r="I65" s="54" t="s">
        <v>267</v>
      </c>
      <c r="J65" s="55" t="s">
        <v>268</v>
      </c>
      <c r="K65" s="54">
        <v>2128</v>
      </c>
      <c r="L65" s="54" t="s">
        <v>242</v>
      </c>
      <c r="M65" s="55" t="s">
        <v>162</v>
      </c>
      <c r="N65" s="55"/>
      <c r="O65" s="56" t="s">
        <v>269</v>
      </c>
      <c r="P65" s="56" t="s">
        <v>68</v>
      </c>
    </row>
    <row r="66" spans="1:16" ht="12.75" customHeight="1" x14ac:dyDescent="0.2">
      <c r="A66" s="27" t="str">
        <f t="shared" si="6"/>
        <v> BBS 66 </v>
      </c>
      <c r="B66" s="4" t="str">
        <f t="shared" si="7"/>
        <v>I</v>
      </c>
      <c r="C66" s="27">
        <f t="shared" si="8"/>
        <v>45431.476000000002</v>
      </c>
      <c r="D66" t="str">
        <f t="shared" si="9"/>
        <v>vis</v>
      </c>
      <c r="E66">
        <f>VLOOKUP(C66,Active!C$21:E$970,3,FALSE)</f>
        <v>-5922.9505247939005</v>
      </c>
      <c r="F66" s="4" t="s">
        <v>108</v>
      </c>
      <c r="G66" t="str">
        <f t="shared" si="10"/>
        <v>45431.476</v>
      </c>
      <c r="H66" s="27">
        <f t="shared" si="11"/>
        <v>2392</v>
      </c>
      <c r="I66" s="54" t="s">
        <v>270</v>
      </c>
      <c r="J66" s="55" t="s">
        <v>271</v>
      </c>
      <c r="K66" s="54">
        <v>2392</v>
      </c>
      <c r="L66" s="54" t="s">
        <v>272</v>
      </c>
      <c r="M66" s="55" t="s">
        <v>162</v>
      </c>
      <c r="N66" s="55"/>
      <c r="O66" s="56" t="s">
        <v>213</v>
      </c>
      <c r="P66" s="56" t="s">
        <v>69</v>
      </c>
    </row>
    <row r="67" spans="1:16" ht="12.75" customHeight="1" x14ac:dyDescent="0.2">
      <c r="A67" s="27" t="str">
        <f t="shared" si="6"/>
        <v> BBS 66 </v>
      </c>
      <c r="B67" s="4" t="str">
        <f t="shared" si="7"/>
        <v>I</v>
      </c>
      <c r="C67" s="27">
        <f t="shared" si="8"/>
        <v>45437.46</v>
      </c>
      <c r="D67" t="str">
        <f t="shared" si="9"/>
        <v>vis</v>
      </c>
      <c r="E67">
        <f>VLOOKUP(C67,Active!C$21:E$970,3,FALSE)</f>
        <v>-5917.9371279486068</v>
      </c>
      <c r="F67" s="4" t="s">
        <v>108</v>
      </c>
      <c r="G67" t="str">
        <f t="shared" si="10"/>
        <v>45437.460</v>
      </c>
      <c r="H67" s="27">
        <f t="shared" si="11"/>
        <v>2397</v>
      </c>
      <c r="I67" s="54" t="s">
        <v>273</v>
      </c>
      <c r="J67" s="55" t="s">
        <v>274</v>
      </c>
      <c r="K67" s="54">
        <v>2397</v>
      </c>
      <c r="L67" s="54" t="s">
        <v>225</v>
      </c>
      <c r="M67" s="55" t="s">
        <v>162</v>
      </c>
      <c r="N67" s="55"/>
      <c r="O67" s="56" t="s">
        <v>213</v>
      </c>
      <c r="P67" s="56" t="s">
        <v>69</v>
      </c>
    </row>
    <row r="68" spans="1:16" ht="12.75" customHeight="1" x14ac:dyDescent="0.2">
      <c r="A68" s="27" t="str">
        <f t="shared" si="6"/>
        <v> AOEB 9 </v>
      </c>
      <c r="B68" s="4" t="str">
        <f t="shared" si="7"/>
        <v>I</v>
      </c>
      <c r="C68" s="27">
        <f t="shared" si="8"/>
        <v>45463.71</v>
      </c>
      <c r="D68" t="str">
        <f t="shared" si="9"/>
        <v>vis</v>
      </c>
      <c r="E68">
        <f>VLOOKUP(C68,Active!C$21:E$970,3,FALSE)</f>
        <v>-5895.9448707311876</v>
      </c>
      <c r="F68" s="4" t="s">
        <v>108</v>
      </c>
      <c r="G68" t="str">
        <f t="shared" si="10"/>
        <v>45463.710</v>
      </c>
      <c r="H68" s="27">
        <f t="shared" si="11"/>
        <v>2419</v>
      </c>
      <c r="I68" s="54" t="s">
        <v>275</v>
      </c>
      <c r="J68" s="55" t="s">
        <v>276</v>
      </c>
      <c r="K68" s="54">
        <v>2419</v>
      </c>
      <c r="L68" s="54" t="s">
        <v>196</v>
      </c>
      <c r="M68" s="55" t="s">
        <v>162</v>
      </c>
      <c r="N68" s="55"/>
      <c r="O68" s="56" t="s">
        <v>127</v>
      </c>
      <c r="P68" s="56" t="s">
        <v>64</v>
      </c>
    </row>
    <row r="69" spans="1:16" ht="12.75" customHeight="1" x14ac:dyDescent="0.2">
      <c r="A69" s="27" t="str">
        <f t="shared" si="6"/>
        <v> BBS 66 </v>
      </c>
      <c r="B69" s="4" t="str">
        <f t="shared" si="7"/>
        <v>I</v>
      </c>
      <c r="C69" s="27">
        <f t="shared" si="8"/>
        <v>45474.455000000002</v>
      </c>
      <c r="D69" t="str">
        <f t="shared" si="9"/>
        <v>vis</v>
      </c>
      <c r="E69">
        <f>VLOOKUP(C69,Active!C$21:E$970,3,FALSE)</f>
        <v>-5886.9427067768556</v>
      </c>
      <c r="F69" s="4" t="s">
        <v>108</v>
      </c>
      <c r="G69" t="str">
        <f t="shared" si="10"/>
        <v>45474.455</v>
      </c>
      <c r="H69" s="27">
        <f t="shared" si="11"/>
        <v>2428</v>
      </c>
      <c r="I69" s="54" t="s">
        <v>277</v>
      </c>
      <c r="J69" s="55" t="s">
        <v>278</v>
      </c>
      <c r="K69" s="54">
        <v>2428</v>
      </c>
      <c r="L69" s="54" t="s">
        <v>212</v>
      </c>
      <c r="M69" s="55" t="s">
        <v>162</v>
      </c>
      <c r="N69" s="55"/>
      <c r="O69" s="56" t="s">
        <v>213</v>
      </c>
      <c r="P69" s="56" t="s">
        <v>69</v>
      </c>
    </row>
    <row r="70" spans="1:16" ht="12.75" customHeight="1" x14ac:dyDescent="0.2">
      <c r="A70" s="27" t="str">
        <f t="shared" si="6"/>
        <v> AOEB 9 </v>
      </c>
      <c r="B70" s="4" t="str">
        <f t="shared" si="7"/>
        <v>I</v>
      </c>
      <c r="C70" s="27">
        <f t="shared" si="8"/>
        <v>45876.703999999998</v>
      </c>
      <c r="D70" t="str">
        <f t="shared" si="9"/>
        <v>vis</v>
      </c>
      <c r="E70">
        <f>VLOOKUP(C70,Active!C$21:E$970,3,FALSE)</f>
        <v>-5549.9383839787797</v>
      </c>
      <c r="F70" s="4" t="s">
        <v>108</v>
      </c>
      <c r="G70" t="str">
        <f t="shared" si="10"/>
        <v>45876.704</v>
      </c>
      <c r="H70" s="27">
        <f t="shared" si="11"/>
        <v>2765</v>
      </c>
      <c r="I70" s="54" t="s">
        <v>279</v>
      </c>
      <c r="J70" s="55" t="s">
        <v>280</v>
      </c>
      <c r="K70" s="54">
        <v>2765</v>
      </c>
      <c r="L70" s="54" t="s">
        <v>225</v>
      </c>
      <c r="M70" s="55" t="s">
        <v>162</v>
      </c>
      <c r="N70" s="55"/>
      <c r="O70" s="56" t="s">
        <v>127</v>
      </c>
      <c r="P70" s="56" t="s">
        <v>64</v>
      </c>
    </row>
    <row r="71" spans="1:16" ht="12.75" customHeight="1" x14ac:dyDescent="0.2">
      <c r="A71" s="27" t="str">
        <f t="shared" si="6"/>
        <v> BBS 83 </v>
      </c>
      <c r="B71" s="4" t="str">
        <f t="shared" si="7"/>
        <v>I</v>
      </c>
      <c r="C71" s="27">
        <f t="shared" si="8"/>
        <v>46917.559000000001</v>
      </c>
      <c r="D71" t="str">
        <f t="shared" si="9"/>
        <v>vis</v>
      </c>
      <c r="E71">
        <f>VLOOKUP(C71,Active!C$21:E$970,3,FALSE)</f>
        <v>-4677.9097787964292</v>
      </c>
      <c r="F71" s="4" t="s">
        <v>108</v>
      </c>
      <c r="G71" t="str">
        <f t="shared" si="10"/>
        <v>46917.559</v>
      </c>
      <c r="H71" s="27">
        <f t="shared" si="11"/>
        <v>3637</v>
      </c>
      <c r="I71" s="54" t="s">
        <v>281</v>
      </c>
      <c r="J71" s="55" t="s">
        <v>282</v>
      </c>
      <c r="K71" s="54">
        <v>3637</v>
      </c>
      <c r="L71" s="54" t="s">
        <v>283</v>
      </c>
      <c r="M71" s="55" t="s">
        <v>162</v>
      </c>
      <c r="N71" s="55"/>
      <c r="O71" s="56" t="s">
        <v>284</v>
      </c>
      <c r="P71" s="56" t="s">
        <v>70</v>
      </c>
    </row>
    <row r="72" spans="1:16" ht="12.75" customHeight="1" x14ac:dyDescent="0.2">
      <c r="A72" s="27" t="str">
        <f t="shared" si="6"/>
        <v> AOEB 9 </v>
      </c>
      <c r="B72" s="4" t="str">
        <f t="shared" si="7"/>
        <v>I</v>
      </c>
      <c r="C72" s="27">
        <f t="shared" si="8"/>
        <v>46924.67</v>
      </c>
      <c r="D72" t="str">
        <f t="shared" si="9"/>
        <v>vis</v>
      </c>
      <c r="E72">
        <f>VLOOKUP(C72,Active!C$21:E$970,3,FALSE)</f>
        <v>-4671.952181041268</v>
      </c>
      <c r="F72" s="4" t="s">
        <v>108</v>
      </c>
      <c r="G72" t="str">
        <f t="shared" si="10"/>
        <v>46924.670</v>
      </c>
      <c r="H72" s="27">
        <f t="shared" si="11"/>
        <v>3643</v>
      </c>
      <c r="I72" s="54" t="s">
        <v>285</v>
      </c>
      <c r="J72" s="55" t="s">
        <v>286</v>
      </c>
      <c r="K72" s="54">
        <v>3643</v>
      </c>
      <c r="L72" s="54" t="s">
        <v>287</v>
      </c>
      <c r="M72" s="55" t="s">
        <v>162</v>
      </c>
      <c r="N72" s="55"/>
      <c r="O72" s="56" t="s">
        <v>127</v>
      </c>
      <c r="P72" s="56" t="s">
        <v>64</v>
      </c>
    </row>
    <row r="73" spans="1:16" ht="12.75" customHeight="1" x14ac:dyDescent="0.2">
      <c r="A73" s="27" t="str">
        <f t="shared" si="6"/>
        <v> BBS 88 </v>
      </c>
      <c r="B73" s="4" t="str">
        <f t="shared" si="7"/>
        <v>I</v>
      </c>
      <c r="C73" s="27">
        <f t="shared" si="8"/>
        <v>47262.449000000001</v>
      </c>
      <c r="D73" t="str">
        <f t="shared" si="9"/>
        <v>vis</v>
      </c>
      <c r="E73">
        <f>VLOOKUP(C73,Active!C$21:E$970,3,FALSE)</f>
        <v>-4388.9608419691676</v>
      </c>
      <c r="F73" s="4" t="s">
        <v>108</v>
      </c>
      <c r="G73" t="str">
        <f t="shared" si="10"/>
        <v>47262.449</v>
      </c>
      <c r="H73" s="27">
        <f t="shared" si="11"/>
        <v>3926</v>
      </c>
      <c r="I73" s="54" t="s">
        <v>288</v>
      </c>
      <c r="J73" s="55" t="s">
        <v>289</v>
      </c>
      <c r="K73" s="54">
        <v>3926</v>
      </c>
      <c r="L73" s="54" t="s">
        <v>290</v>
      </c>
      <c r="M73" s="55" t="s">
        <v>162</v>
      </c>
      <c r="N73" s="55"/>
      <c r="O73" s="56" t="s">
        <v>213</v>
      </c>
      <c r="P73" s="56" t="s">
        <v>71</v>
      </c>
    </row>
    <row r="74" spans="1:16" ht="12.75" customHeight="1" x14ac:dyDescent="0.2">
      <c r="A74" s="27" t="str">
        <f t="shared" si="6"/>
        <v> BBS 95 </v>
      </c>
      <c r="B74" s="4" t="str">
        <f t="shared" si="7"/>
        <v>I</v>
      </c>
      <c r="C74" s="27">
        <f t="shared" si="8"/>
        <v>48008.445</v>
      </c>
      <c r="D74" t="str">
        <f t="shared" si="9"/>
        <v>vis</v>
      </c>
      <c r="E74">
        <f>VLOOKUP(C74,Active!C$21:E$970,3,FALSE)</f>
        <v>-3763.965188058095</v>
      </c>
      <c r="F74" s="4" t="s">
        <v>108</v>
      </c>
      <c r="G74" t="str">
        <f t="shared" si="10"/>
        <v>48008.445</v>
      </c>
      <c r="H74" s="27">
        <f t="shared" si="11"/>
        <v>4551</v>
      </c>
      <c r="I74" s="54" t="s">
        <v>291</v>
      </c>
      <c r="J74" s="55" t="s">
        <v>292</v>
      </c>
      <c r="K74" s="54">
        <v>4551</v>
      </c>
      <c r="L74" s="54" t="s">
        <v>293</v>
      </c>
      <c r="M74" s="55" t="s">
        <v>162</v>
      </c>
      <c r="N74" s="55"/>
      <c r="O74" s="56" t="s">
        <v>213</v>
      </c>
      <c r="P74" s="56" t="s">
        <v>72</v>
      </c>
    </row>
    <row r="75" spans="1:16" ht="12.75" customHeight="1" x14ac:dyDescent="0.2">
      <c r="A75" s="27" t="str">
        <f t="shared" ref="A75:A97" si="12">P75</f>
        <v> BBS 97 </v>
      </c>
      <c r="B75" s="4" t="str">
        <f t="shared" ref="B75:B97" si="13">IF(H75=INT(H75),"I","II")</f>
        <v>I</v>
      </c>
      <c r="C75" s="27">
        <f t="shared" ref="C75:C97" si="14">1*G75</f>
        <v>48311.618999999999</v>
      </c>
      <c r="D75" t="str">
        <f t="shared" ref="D75:D97" si="15">VLOOKUP(F75,I$1:J$5,2,FALSE)</f>
        <v>vis</v>
      </c>
      <c r="E75">
        <f>VLOOKUP(C75,Active!C$21:E$970,3,FALSE)</f>
        <v>-3509.9659275006184</v>
      </c>
      <c r="F75" s="4" t="s">
        <v>108</v>
      </c>
      <c r="G75" t="str">
        <f t="shared" ref="G75:G97" si="16">MID(I75,3,LEN(I75)-3)</f>
        <v>48311.619</v>
      </c>
      <c r="H75" s="27">
        <f t="shared" ref="H75:H97" si="17">1*K75</f>
        <v>4805</v>
      </c>
      <c r="I75" s="54" t="s">
        <v>294</v>
      </c>
      <c r="J75" s="55" t="s">
        <v>295</v>
      </c>
      <c r="K75" s="54">
        <v>4805</v>
      </c>
      <c r="L75" s="54" t="s">
        <v>293</v>
      </c>
      <c r="M75" s="55" t="s">
        <v>162</v>
      </c>
      <c r="N75" s="55"/>
      <c r="O75" s="56" t="s">
        <v>213</v>
      </c>
      <c r="P75" s="56" t="s">
        <v>73</v>
      </c>
    </row>
    <row r="76" spans="1:16" ht="12.75" customHeight="1" x14ac:dyDescent="0.2">
      <c r="A76" s="27" t="str">
        <f t="shared" si="12"/>
        <v> BBS 103 </v>
      </c>
      <c r="B76" s="4" t="str">
        <f t="shared" si="13"/>
        <v>I</v>
      </c>
      <c r="C76" s="27">
        <f t="shared" si="14"/>
        <v>49075.517999999996</v>
      </c>
      <c r="D76" t="str">
        <f t="shared" si="15"/>
        <v>vis</v>
      </c>
      <c r="E76">
        <f>VLOOKUP(C76,Active!C$21:E$970,3,FALSE)</f>
        <v>-2869.9711352671297</v>
      </c>
      <c r="F76" s="4" t="s">
        <v>108</v>
      </c>
      <c r="G76" t="str">
        <f t="shared" si="16"/>
        <v>49075.518</v>
      </c>
      <c r="H76" s="27">
        <f t="shared" si="17"/>
        <v>5445</v>
      </c>
      <c r="I76" s="54" t="s">
        <v>296</v>
      </c>
      <c r="J76" s="55" t="s">
        <v>297</v>
      </c>
      <c r="K76" s="54">
        <v>5445</v>
      </c>
      <c r="L76" s="54" t="s">
        <v>298</v>
      </c>
      <c r="M76" s="55" t="s">
        <v>162</v>
      </c>
      <c r="N76" s="55"/>
      <c r="O76" s="56" t="s">
        <v>213</v>
      </c>
      <c r="P76" s="56" t="s">
        <v>74</v>
      </c>
    </row>
    <row r="77" spans="1:16" ht="12.75" customHeight="1" x14ac:dyDescent="0.2">
      <c r="A77" s="27" t="str">
        <f t="shared" si="12"/>
        <v> BBS 106 </v>
      </c>
      <c r="B77" s="4" t="str">
        <f t="shared" si="13"/>
        <v>I</v>
      </c>
      <c r="C77" s="27">
        <f t="shared" si="14"/>
        <v>49451.502999999997</v>
      </c>
      <c r="D77" t="str">
        <f t="shared" si="15"/>
        <v>vis</v>
      </c>
      <c r="E77">
        <f>VLOOKUP(C77,Active!C$21:E$970,3,FALSE)</f>
        <v>-2554.9707988903187</v>
      </c>
      <c r="F77" s="4" t="s">
        <v>108</v>
      </c>
      <c r="G77" t="str">
        <f t="shared" si="16"/>
        <v>49451.503</v>
      </c>
      <c r="H77" s="27">
        <f t="shared" si="17"/>
        <v>5760</v>
      </c>
      <c r="I77" s="54" t="s">
        <v>299</v>
      </c>
      <c r="J77" s="55" t="s">
        <v>300</v>
      </c>
      <c r="K77" s="54">
        <v>5760</v>
      </c>
      <c r="L77" s="54" t="s">
        <v>301</v>
      </c>
      <c r="M77" s="55" t="s">
        <v>162</v>
      </c>
      <c r="N77" s="55"/>
      <c r="O77" s="56" t="s">
        <v>213</v>
      </c>
      <c r="P77" s="56" t="s">
        <v>75</v>
      </c>
    </row>
    <row r="78" spans="1:16" ht="12.75" customHeight="1" x14ac:dyDescent="0.2">
      <c r="A78" s="27" t="str">
        <f t="shared" si="12"/>
        <v> BBS 108 </v>
      </c>
      <c r="B78" s="4" t="str">
        <f t="shared" si="13"/>
        <v>I</v>
      </c>
      <c r="C78" s="27">
        <f t="shared" si="14"/>
        <v>49748.701999999997</v>
      </c>
      <c r="D78" t="str">
        <f t="shared" si="15"/>
        <v>vis</v>
      </c>
      <c r="E78">
        <f>VLOOKUP(C78,Active!C$21:E$970,3,FALSE)</f>
        <v>-2305.9773949756627</v>
      </c>
      <c r="F78" s="4" t="s">
        <v>108</v>
      </c>
      <c r="G78" t="str">
        <f t="shared" si="16"/>
        <v>49748.702</v>
      </c>
      <c r="H78" s="27">
        <f t="shared" si="17"/>
        <v>6009</v>
      </c>
      <c r="I78" s="54" t="s">
        <v>302</v>
      </c>
      <c r="J78" s="55" t="s">
        <v>303</v>
      </c>
      <c r="K78" s="54">
        <v>6009</v>
      </c>
      <c r="L78" s="54" t="s">
        <v>304</v>
      </c>
      <c r="M78" s="55" t="s">
        <v>162</v>
      </c>
      <c r="N78" s="55"/>
      <c r="O78" s="56" t="s">
        <v>213</v>
      </c>
      <c r="P78" s="56" t="s">
        <v>76</v>
      </c>
    </row>
    <row r="79" spans="1:16" ht="12.75" customHeight="1" x14ac:dyDescent="0.2">
      <c r="A79" s="27" t="str">
        <f t="shared" si="12"/>
        <v> BBS 112 </v>
      </c>
      <c r="B79" s="4" t="str">
        <f t="shared" si="13"/>
        <v>I</v>
      </c>
      <c r="C79" s="27">
        <f t="shared" si="14"/>
        <v>50252.400999999998</v>
      </c>
      <c r="D79" t="str">
        <f t="shared" si="15"/>
        <v>vis</v>
      </c>
      <c r="E79">
        <f>VLOOKUP(C79,Active!C$21:E$970,3,FALSE)</f>
        <v>-1883.9782342839778</v>
      </c>
      <c r="F79" s="4" t="s">
        <v>108</v>
      </c>
      <c r="G79" t="str">
        <f t="shared" si="16"/>
        <v>50252.401</v>
      </c>
      <c r="H79" s="27">
        <f t="shared" si="17"/>
        <v>6431</v>
      </c>
      <c r="I79" s="54" t="s">
        <v>305</v>
      </c>
      <c r="J79" s="55" t="s">
        <v>306</v>
      </c>
      <c r="K79" s="54">
        <v>6431</v>
      </c>
      <c r="L79" s="54" t="s">
        <v>307</v>
      </c>
      <c r="M79" s="55" t="s">
        <v>162</v>
      </c>
      <c r="N79" s="55"/>
      <c r="O79" s="56" t="s">
        <v>213</v>
      </c>
      <c r="P79" s="56" t="s">
        <v>77</v>
      </c>
    </row>
    <row r="80" spans="1:16" ht="12.75" customHeight="1" x14ac:dyDescent="0.2">
      <c r="A80" s="27" t="str">
        <f t="shared" si="12"/>
        <v> BBS 115 </v>
      </c>
      <c r="B80" s="4" t="str">
        <f t="shared" si="13"/>
        <v>I</v>
      </c>
      <c r="C80" s="27">
        <f t="shared" si="14"/>
        <v>50548.421000000002</v>
      </c>
      <c r="D80" t="str">
        <f t="shared" si="15"/>
        <v>vis</v>
      </c>
      <c r="E80">
        <f>VLOOKUP(C80,Active!C$21:E$970,3,FALSE)</f>
        <v>-1635.9725968934845</v>
      </c>
      <c r="F80" s="4" t="s">
        <v>108</v>
      </c>
      <c r="G80" t="str">
        <f t="shared" si="16"/>
        <v>50548.421</v>
      </c>
      <c r="H80" s="27">
        <f t="shared" si="17"/>
        <v>6679</v>
      </c>
      <c r="I80" s="54" t="s">
        <v>308</v>
      </c>
      <c r="J80" s="55" t="s">
        <v>309</v>
      </c>
      <c r="K80" s="54">
        <v>6679</v>
      </c>
      <c r="L80" s="54" t="s">
        <v>310</v>
      </c>
      <c r="M80" s="55" t="s">
        <v>162</v>
      </c>
      <c r="N80" s="55"/>
      <c r="O80" s="56" t="s">
        <v>213</v>
      </c>
      <c r="P80" s="56" t="s">
        <v>78</v>
      </c>
    </row>
    <row r="81" spans="1:16" ht="12.75" customHeight="1" x14ac:dyDescent="0.2">
      <c r="A81" s="27" t="str">
        <f t="shared" si="12"/>
        <v> BBS 116 </v>
      </c>
      <c r="B81" s="4" t="str">
        <f t="shared" si="13"/>
        <v>I</v>
      </c>
      <c r="C81" s="27">
        <f t="shared" si="14"/>
        <v>50573.478999999999</v>
      </c>
      <c r="D81" t="str">
        <f t="shared" si="15"/>
        <v>vis</v>
      </c>
      <c r="E81">
        <f>VLOOKUP(C81,Active!C$21:E$970,3,FALSE)</f>
        <v>-1614.9789976038073</v>
      </c>
      <c r="F81" s="4" t="s">
        <v>108</v>
      </c>
      <c r="G81" t="str">
        <f t="shared" si="16"/>
        <v>50573.479</v>
      </c>
      <c r="H81" s="27">
        <f t="shared" si="17"/>
        <v>6700</v>
      </c>
      <c r="I81" s="54" t="s">
        <v>311</v>
      </c>
      <c r="J81" s="55" t="s">
        <v>312</v>
      </c>
      <c r="K81" s="54">
        <v>6700</v>
      </c>
      <c r="L81" s="54" t="s">
        <v>307</v>
      </c>
      <c r="M81" s="55" t="s">
        <v>162</v>
      </c>
      <c r="N81" s="55"/>
      <c r="O81" s="56" t="s">
        <v>239</v>
      </c>
      <c r="P81" s="56" t="s">
        <v>79</v>
      </c>
    </row>
    <row r="82" spans="1:16" ht="12.75" customHeight="1" x14ac:dyDescent="0.2">
      <c r="A82" s="27" t="str">
        <f t="shared" si="12"/>
        <v> AOEB 9 </v>
      </c>
      <c r="B82" s="4" t="str">
        <f t="shared" si="13"/>
        <v>I</v>
      </c>
      <c r="C82" s="27">
        <f t="shared" si="14"/>
        <v>50580.639999999999</v>
      </c>
      <c r="D82" t="str">
        <f t="shared" si="15"/>
        <v>vis</v>
      </c>
      <c r="E82">
        <f>VLOOKUP(C82,Active!C$21:E$970,3,FALSE)</f>
        <v>-1608.9795098348955</v>
      </c>
      <c r="F82" s="4" t="s">
        <v>108</v>
      </c>
      <c r="G82" t="str">
        <f t="shared" si="16"/>
        <v>50580.640</v>
      </c>
      <c r="H82" s="27">
        <f t="shared" si="17"/>
        <v>6706</v>
      </c>
      <c r="I82" s="54" t="s">
        <v>313</v>
      </c>
      <c r="J82" s="55" t="s">
        <v>314</v>
      </c>
      <c r="K82" s="54">
        <v>6706</v>
      </c>
      <c r="L82" s="54" t="s">
        <v>304</v>
      </c>
      <c r="M82" s="55" t="s">
        <v>119</v>
      </c>
      <c r="N82" s="55" t="s">
        <v>126</v>
      </c>
      <c r="O82" s="56" t="s">
        <v>315</v>
      </c>
      <c r="P82" s="56" t="s">
        <v>64</v>
      </c>
    </row>
    <row r="83" spans="1:16" ht="12.75" customHeight="1" x14ac:dyDescent="0.2">
      <c r="A83" s="27" t="str">
        <f t="shared" si="12"/>
        <v> BBS 117 </v>
      </c>
      <c r="B83" s="4" t="str">
        <f t="shared" si="13"/>
        <v>I</v>
      </c>
      <c r="C83" s="27">
        <f t="shared" si="14"/>
        <v>50876.637000000002</v>
      </c>
      <c r="D83" t="str">
        <f t="shared" si="15"/>
        <v>vis</v>
      </c>
      <c r="E83">
        <f>VLOOKUP(C83,Active!C$21:E$970,3,FALSE)</f>
        <v>-1360.9931418507265</v>
      </c>
      <c r="F83" s="4" t="s">
        <v>108</v>
      </c>
      <c r="G83" t="str">
        <f t="shared" si="16"/>
        <v>50876.637</v>
      </c>
      <c r="H83" s="27">
        <f t="shared" si="17"/>
        <v>6954</v>
      </c>
      <c r="I83" s="54" t="s">
        <v>316</v>
      </c>
      <c r="J83" s="55" t="s">
        <v>317</v>
      </c>
      <c r="K83" s="54">
        <v>6954</v>
      </c>
      <c r="L83" s="54" t="s">
        <v>318</v>
      </c>
      <c r="M83" s="55" t="s">
        <v>162</v>
      </c>
      <c r="N83" s="55"/>
      <c r="O83" s="56" t="s">
        <v>213</v>
      </c>
      <c r="P83" s="56" t="s">
        <v>80</v>
      </c>
    </row>
    <row r="84" spans="1:16" ht="12.75" customHeight="1" x14ac:dyDescent="0.2">
      <c r="A84" s="27" t="str">
        <f t="shared" si="12"/>
        <v> BBS 118 </v>
      </c>
      <c r="B84" s="4" t="str">
        <f t="shared" si="13"/>
        <v>I</v>
      </c>
      <c r="C84" s="27">
        <f t="shared" si="14"/>
        <v>50949.444000000003</v>
      </c>
      <c r="D84" t="str">
        <f t="shared" si="15"/>
        <v>vis</v>
      </c>
      <c r="E84">
        <f>VLOOKUP(C84,Active!C$21:E$970,3,FALSE)</f>
        <v>-1299.9954172324926</v>
      </c>
      <c r="F84" s="4" t="s">
        <v>108</v>
      </c>
      <c r="G84" t="str">
        <f t="shared" si="16"/>
        <v>50949.444</v>
      </c>
      <c r="H84" s="27">
        <f t="shared" si="17"/>
        <v>7015</v>
      </c>
      <c r="I84" s="54" t="s">
        <v>319</v>
      </c>
      <c r="J84" s="55" t="s">
        <v>320</v>
      </c>
      <c r="K84" s="54">
        <v>7015</v>
      </c>
      <c r="L84" s="54" t="s">
        <v>321</v>
      </c>
      <c r="M84" s="55" t="s">
        <v>162</v>
      </c>
      <c r="N84" s="55"/>
      <c r="O84" s="56" t="s">
        <v>213</v>
      </c>
      <c r="P84" s="56" t="s">
        <v>81</v>
      </c>
    </row>
    <row r="85" spans="1:16" ht="12.75" customHeight="1" x14ac:dyDescent="0.2">
      <c r="A85" s="27" t="str">
        <f t="shared" si="12"/>
        <v> BBS 119 </v>
      </c>
      <c r="B85" s="4" t="str">
        <f t="shared" si="13"/>
        <v>I</v>
      </c>
      <c r="C85" s="27">
        <f t="shared" si="14"/>
        <v>51197.713000000003</v>
      </c>
      <c r="D85" t="str">
        <f t="shared" si="15"/>
        <v>vis</v>
      </c>
      <c r="E85">
        <f>VLOOKUP(C85,Active!C$21:E$970,3,FALSE)</f>
        <v>-1091.9955807711062</v>
      </c>
      <c r="F85" s="4" t="s">
        <v>108</v>
      </c>
      <c r="G85" t="str">
        <f t="shared" si="16"/>
        <v>51197.713</v>
      </c>
      <c r="H85" s="27">
        <f t="shared" si="17"/>
        <v>7223</v>
      </c>
      <c r="I85" s="54" t="s">
        <v>322</v>
      </c>
      <c r="J85" s="55" t="s">
        <v>323</v>
      </c>
      <c r="K85" s="54">
        <v>7223</v>
      </c>
      <c r="L85" s="54" t="s">
        <v>324</v>
      </c>
      <c r="M85" s="55" t="s">
        <v>162</v>
      </c>
      <c r="N85" s="55"/>
      <c r="O85" s="56" t="s">
        <v>213</v>
      </c>
      <c r="P85" s="56" t="s">
        <v>82</v>
      </c>
    </row>
    <row r="86" spans="1:16" ht="12.75" customHeight="1" x14ac:dyDescent="0.2">
      <c r="A86" s="27" t="str">
        <f t="shared" si="12"/>
        <v> BBS 124 </v>
      </c>
      <c r="B86" s="4" t="str">
        <f t="shared" si="13"/>
        <v>I</v>
      </c>
      <c r="C86" s="27">
        <f t="shared" si="14"/>
        <v>51967.595000000001</v>
      </c>
      <c r="D86" t="str">
        <f t="shared" si="15"/>
        <v>vis</v>
      </c>
      <c r="E86">
        <f>VLOOKUP(C86,Active!C$21:E$970,3,FALSE)</f>
        <v>-446.98822949259551</v>
      </c>
      <c r="F86" s="4" t="s">
        <v>108</v>
      </c>
      <c r="G86" t="str">
        <f t="shared" si="16"/>
        <v>51967.595</v>
      </c>
      <c r="H86" s="27">
        <f t="shared" si="17"/>
        <v>7868</v>
      </c>
      <c r="I86" s="54" t="s">
        <v>325</v>
      </c>
      <c r="J86" s="55" t="s">
        <v>326</v>
      </c>
      <c r="K86" s="54">
        <v>7868</v>
      </c>
      <c r="L86" s="54" t="s">
        <v>327</v>
      </c>
      <c r="M86" s="55" t="s">
        <v>162</v>
      </c>
      <c r="N86" s="55"/>
      <c r="O86" s="56" t="s">
        <v>213</v>
      </c>
      <c r="P86" s="56" t="s">
        <v>83</v>
      </c>
    </row>
    <row r="87" spans="1:16" ht="12.75" customHeight="1" x14ac:dyDescent="0.2">
      <c r="A87" s="27" t="str">
        <f t="shared" si="12"/>
        <v> BBS 127 </v>
      </c>
      <c r="B87" s="4" t="str">
        <f t="shared" si="13"/>
        <v>I</v>
      </c>
      <c r="C87" s="27">
        <f t="shared" si="14"/>
        <v>52276.726999999999</v>
      </c>
      <c r="D87" t="str">
        <f t="shared" si="15"/>
        <v>vis</v>
      </c>
      <c r="E87">
        <f>VLOOKUP(C87,Active!C$21:E$970,3,FALSE)</f>
        <v>-187.99735489697213</v>
      </c>
      <c r="F87" s="4" t="s">
        <v>108</v>
      </c>
      <c r="G87" t="str">
        <f t="shared" si="16"/>
        <v>52276.727</v>
      </c>
      <c r="H87" s="27">
        <f t="shared" si="17"/>
        <v>8127</v>
      </c>
      <c r="I87" s="54" t="s">
        <v>328</v>
      </c>
      <c r="J87" s="55" t="s">
        <v>329</v>
      </c>
      <c r="K87" s="54">
        <v>8127</v>
      </c>
      <c r="L87" s="54" t="s">
        <v>330</v>
      </c>
      <c r="M87" s="55" t="s">
        <v>162</v>
      </c>
      <c r="N87" s="55"/>
      <c r="O87" s="56" t="s">
        <v>213</v>
      </c>
      <c r="P87" s="56" t="s">
        <v>84</v>
      </c>
    </row>
    <row r="88" spans="1:16" ht="12.75" customHeight="1" x14ac:dyDescent="0.2">
      <c r="A88" s="27" t="str">
        <f t="shared" si="12"/>
        <v> AOEB 9 </v>
      </c>
      <c r="B88" s="4" t="str">
        <f t="shared" si="13"/>
        <v>I</v>
      </c>
      <c r="C88" s="27">
        <f t="shared" si="14"/>
        <v>52405.634100000003</v>
      </c>
      <c r="D88" t="str">
        <f t="shared" si="15"/>
        <v>vis</v>
      </c>
      <c r="E88">
        <f>VLOOKUP(C88,Active!C$21:E$970,3,FALSE)</f>
        <v>-79.998951074052613</v>
      </c>
      <c r="F88" s="4" t="s">
        <v>108</v>
      </c>
      <c r="G88" t="str">
        <f t="shared" si="16"/>
        <v>52405.6341</v>
      </c>
      <c r="H88" s="27">
        <f t="shared" si="17"/>
        <v>8235</v>
      </c>
      <c r="I88" s="54" t="s">
        <v>331</v>
      </c>
      <c r="J88" s="55" t="s">
        <v>332</v>
      </c>
      <c r="K88" s="54">
        <v>8235</v>
      </c>
      <c r="L88" s="54" t="s">
        <v>333</v>
      </c>
      <c r="M88" s="55" t="s">
        <v>119</v>
      </c>
      <c r="N88" s="55" t="s">
        <v>126</v>
      </c>
      <c r="O88" s="56" t="s">
        <v>334</v>
      </c>
      <c r="P88" s="56" t="s">
        <v>64</v>
      </c>
    </row>
    <row r="89" spans="1:16" ht="12.75" customHeight="1" x14ac:dyDescent="0.2">
      <c r="A89" s="27" t="str">
        <f t="shared" si="12"/>
        <v> AOEB 9 </v>
      </c>
      <c r="B89" s="4" t="str">
        <f t="shared" si="13"/>
        <v>I</v>
      </c>
      <c r="C89" s="27">
        <f t="shared" si="14"/>
        <v>52763.71</v>
      </c>
      <c r="D89" t="str">
        <f t="shared" si="15"/>
        <v>vis</v>
      </c>
      <c r="E89">
        <f>VLOOKUP(C89,Active!C$21:E$970,3,FALSE)</f>
        <v>219.99713639866019</v>
      </c>
      <c r="F89" s="4" t="s">
        <v>108</v>
      </c>
      <c r="G89" t="str">
        <f t="shared" si="16"/>
        <v>52763.710</v>
      </c>
      <c r="H89" s="27">
        <f t="shared" si="17"/>
        <v>8535</v>
      </c>
      <c r="I89" s="54" t="s">
        <v>335</v>
      </c>
      <c r="J89" s="55" t="s">
        <v>336</v>
      </c>
      <c r="K89" s="54">
        <v>8535</v>
      </c>
      <c r="L89" s="54" t="s">
        <v>337</v>
      </c>
      <c r="M89" s="55" t="s">
        <v>162</v>
      </c>
      <c r="N89" s="55"/>
      <c r="O89" s="56" t="s">
        <v>338</v>
      </c>
      <c r="P89" s="56" t="s">
        <v>64</v>
      </c>
    </row>
    <row r="90" spans="1:16" ht="12.75" customHeight="1" x14ac:dyDescent="0.2">
      <c r="A90" s="27" t="str">
        <f t="shared" si="12"/>
        <v> AOEB 9 </v>
      </c>
      <c r="B90" s="4" t="str">
        <f t="shared" si="13"/>
        <v>I</v>
      </c>
      <c r="C90" s="27">
        <f t="shared" si="14"/>
        <v>52769.680699999997</v>
      </c>
      <c r="D90" t="str">
        <f t="shared" si="15"/>
        <v>vis</v>
      </c>
      <c r="E90">
        <f>VLOOKUP(C90,Active!C$21:E$970,3,FALSE)</f>
        <v>224.99939050029829</v>
      </c>
      <c r="F90" s="4" t="s">
        <v>108</v>
      </c>
      <c r="G90" t="str">
        <f t="shared" si="16"/>
        <v>52769.6807</v>
      </c>
      <c r="H90" s="27">
        <f t="shared" si="17"/>
        <v>8540</v>
      </c>
      <c r="I90" s="54" t="s">
        <v>339</v>
      </c>
      <c r="J90" s="55" t="s">
        <v>340</v>
      </c>
      <c r="K90" s="54">
        <v>8540</v>
      </c>
      <c r="L90" s="54" t="s">
        <v>341</v>
      </c>
      <c r="M90" s="55" t="s">
        <v>119</v>
      </c>
      <c r="N90" s="55" t="s">
        <v>126</v>
      </c>
      <c r="O90" s="56" t="s">
        <v>342</v>
      </c>
      <c r="P90" s="56" t="s">
        <v>64</v>
      </c>
    </row>
    <row r="91" spans="1:16" ht="12.75" customHeight="1" x14ac:dyDescent="0.2">
      <c r="A91" s="27" t="str">
        <f t="shared" si="12"/>
        <v> AOEB 9 </v>
      </c>
      <c r="B91" s="4" t="str">
        <f t="shared" si="13"/>
        <v>I</v>
      </c>
      <c r="C91" s="27">
        <f t="shared" si="14"/>
        <v>52781.616999999998</v>
      </c>
      <c r="D91" t="str">
        <f t="shared" si="15"/>
        <v>CCD</v>
      </c>
      <c r="E91">
        <f>VLOOKUP(C91,Active!C$21:E$970,3,FALSE)</f>
        <v>234.99962592217656</v>
      </c>
      <c r="F91" s="4" t="str">
        <f>LEFT(M91,1)</f>
        <v>C</v>
      </c>
      <c r="G91" t="str">
        <f t="shared" si="16"/>
        <v>52781.6170</v>
      </c>
      <c r="H91" s="27">
        <f t="shared" si="17"/>
        <v>8550</v>
      </c>
      <c r="I91" s="54" t="s">
        <v>343</v>
      </c>
      <c r="J91" s="55" t="s">
        <v>344</v>
      </c>
      <c r="K91" s="54">
        <v>8550</v>
      </c>
      <c r="L91" s="54" t="s">
        <v>345</v>
      </c>
      <c r="M91" s="55" t="s">
        <v>119</v>
      </c>
      <c r="N91" s="55" t="s">
        <v>126</v>
      </c>
      <c r="O91" s="56" t="s">
        <v>127</v>
      </c>
      <c r="P91" s="56" t="s">
        <v>64</v>
      </c>
    </row>
    <row r="92" spans="1:16" ht="12.75" customHeight="1" x14ac:dyDescent="0.2">
      <c r="A92" s="27" t="str">
        <f t="shared" si="12"/>
        <v> AOEB 9 </v>
      </c>
      <c r="B92" s="4" t="str">
        <f t="shared" si="13"/>
        <v>I</v>
      </c>
      <c r="C92" s="27">
        <f t="shared" si="14"/>
        <v>52812.650199999996</v>
      </c>
      <c r="D92" t="str">
        <f t="shared" si="15"/>
        <v>CCD</v>
      </c>
      <c r="E92">
        <f>VLOOKUP(C92,Active!C$21:E$970,3,FALSE)</f>
        <v>260.99924941473137</v>
      </c>
      <c r="F92" s="4" t="str">
        <f>LEFT(M92,1)</f>
        <v>C</v>
      </c>
      <c r="G92" t="str">
        <f t="shared" si="16"/>
        <v>52812.6502</v>
      </c>
      <c r="H92" s="27">
        <f t="shared" si="17"/>
        <v>8576</v>
      </c>
      <c r="I92" s="54" t="s">
        <v>346</v>
      </c>
      <c r="J92" s="55" t="s">
        <v>347</v>
      </c>
      <c r="K92" s="54">
        <v>8576</v>
      </c>
      <c r="L92" s="54" t="s">
        <v>341</v>
      </c>
      <c r="M92" s="55" t="s">
        <v>119</v>
      </c>
      <c r="N92" s="55" t="s">
        <v>126</v>
      </c>
      <c r="O92" s="56" t="s">
        <v>342</v>
      </c>
      <c r="P92" s="56" t="s">
        <v>64</v>
      </c>
    </row>
    <row r="93" spans="1:16" ht="12.75" customHeight="1" x14ac:dyDescent="0.2">
      <c r="A93" s="27" t="str">
        <f t="shared" si="12"/>
        <v> AOEB 9 </v>
      </c>
      <c r="B93" s="4" t="str">
        <f t="shared" si="13"/>
        <v>I</v>
      </c>
      <c r="C93" s="27">
        <f t="shared" si="14"/>
        <v>53176.700799999999</v>
      </c>
      <c r="D93" t="str">
        <f t="shared" si="15"/>
        <v>CCD</v>
      </c>
      <c r="E93">
        <f>VLOOKUP(C93,Active!C$21:E$970,3,FALSE)</f>
        <v>566.00094219018877</v>
      </c>
      <c r="F93" s="4" t="str">
        <f>LEFT(M93,1)</f>
        <v>C</v>
      </c>
      <c r="G93" t="str">
        <f t="shared" si="16"/>
        <v>53176.7008</v>
      </c>
      <c r="H93" s="27">
        <f t="shared" si="17"/>
        <v>8881</v>
      </c>
      <c r="I93" s="54" t="s">
        <v>348</v>
      </c>
      <c r="J93" s="55" t="s">
        <v>349</v>
      </c>
      <c r="K93" s="54">
        <v>8881</v>
      </c>
      <c r="L93" s="54" t="s">
        <v>350</v>
      </c>
      <c r="M93" s="55" t="s">
        <v>119</v>
      </c>
      <c r="N93" s="55" t="s">
        <v>126</v>
      </c>
      <c r="O93" s="56" t="s">
        <v>127</v>
      </c>
      <c r="P93" s="56" t="s">
        <v>64</v>
      </c>
    </row>
    <row r="94" spans="1:16" ht="12.75" customHeight="1" x14ac:dyDescent="0.2">
      <c r="A94" s="27" t="str">
        <f t="shared" si="12"/>
        <v>VSB 45 </v>
      </c>
      <c r="B94" s="4" t="str">
        <f t="shared" si="13"/>
        <v>I</v>
      </c>
      <c r="C94" s="27">
        <f t="shared" si="14"/>
        <v>53815.2762</v>
      </c>
      <c r="D94" t="str">
        <f t="shared" si="15"/>
        <v>PE</v>
      </c>
      <c r="E94">
        <f>VLOOKUP(C94,Active!C$21:E$970,3,FALSE)</f>
        <v>1100.9995878860457</v>
      </c>
      <c r="F94" s="4" t="str">
        <f>LEFT(M94,1)</f>
        <v>E</v>
      </c>
      <c r="G94" t="str">
        <f t="shared" si="16"/>
        <v>53815.2762</v>
      </c>
      <c r="H94" s="27">
        <f t="shared" si="17"/>
        <v>9416</v>
      </c>
      <c r="I94" s="54" t="s">
        <v>351</v>
      </c>
      <c r="J94" s="55" t="s">
        <v>352</v>
      </c>
      <c r="K94" s="54">
        <v>9416</v>
      </c>
      <c r="L94" s="54" t="s">
        <v>353</v>
      </c>
      <c r="M94" s="55" t="s">
        <v>112</v>
      </c>
      <c r="N94" s="55" t="s">
        <v>113</v>
      </c>
      <c r="O94" s="56" t="s">
        <v>354</v>
      </c>
      <c r="P94" s="57" t="s">
        <v>87</v>
      </c>
    </row>
    <row r="95" spans="1:16" ht="12.75" customHeight="1" x14ac:dyDescent="0.2">
      <c r="A95" s="27" t="str">
        <f t="shared" si="12"/>
        <v> AOEB 12 </v>
      </c>
      <c r="B95" s="4" t="str">
        <f t="shared" si="13"/>
        <v>I</v>
      </c>
      <c r="C95" s="27">
        <f t="shared" si="14"/>
        <v>54200.810400000002</v>
      </c>
      <c r="D95" t="str">
        <f t="shared" si="15"/>
        <v>vis</v>
      </c>
      <c r="E95">
        <f>VLOOKUP(C95,Active!C$21:E$970,3,FALSE)</f>
        <v>1424.0002466484034</v>
      </c>
      <c r="F95" s="4" t="s">
        <v>108</v>
      </c>
      <c r="G95" t="str">
        <f t="shared" si="16"/>
        <v>54200.8104</v>
      </c>
      <c r="H95" s="27">
        <f t="shared" si="17"/>
        <v>9739</v>
      </c>
      <c r="I95" s="54" t="s">
        <v>355</v>
      </c>
      <c r="J95" s="55" t="s">
        <v>356</v>
      </c>
      <c r="K95" s="54">
        <v>9739</v>
      </c>
      <c r="L95" s="54" t="s">
        <v>357</v>
      </c>
      <c r="M95" s="55" t="s">
        <v>119</v>
      </c>
      <c r="N95" s="55" t="s">
        <v>126</v>
      </c>
      <c r="O95" s="56" t="s">
        <v>121</v>
      </c>
      <c r="P95" s="56" t="s">
        <v>88</v>
      </c>
    </row>
    <row r="96" spans="1:16" ht="12.75" customHeight="1" x14ac:dyDescent="0.2">
      <c r="A96" s="27" t="str">
        <f t="shared" si="12"/>
        <v> AOEB 12 </v>
      </c>
      <c r="B96" s="4" t="str">
        <f t="shared" si="13"/>
        <v>I</v>
      </c>
      <c r="C96" s="27">
        <f t="shared" si="14"/>
        <v>54218.714399999997</v>
      </c>
      <c r="D96" t="str">
        <f t="shared" si="15"/>
        <v>vis</v>
      </c>
      <c r="E96">
        <f>VLOOKUP(C96,Active!C$21:E$970,3,FALSE)</f>
        <v>1439.0002227710913</v>
      </c>
      <c r="F96" s="4" t="s">
        <v>108</v>
      </c>
      <c r="G96" t="str">
        <f t="shared" si="16"/>
        <v>54218.7144</v>
      </c>
      <c r="H96" s="27">
        <f t="shared" si="17"/>
        <v>9754</v>
      </c>
      <c r="I96" s="54" t="s">
        <v>358</v>
      </c>
      <c r="J96" s="55" t="s">
        <v>359</v>
      </c>
      <c r="K96" s="54">
        <v>9754</v>
      </c>
      <c r="L96" s="54" t="s">
        <v>357</v>
      </c>
      <c r="M96" s="55" t="s">
        <v>119</v>
      </c>
      <c r="N96" s="55" t="s">
        <v>126</v>
      </c>
      <c r="O96" s="56" t="s">
        <v>127</v>
      </c>
      <c r="P96" s="56" t="s">
        <v>88</v>
      </c>
    </row>
    <row r="97" spans="1:16" ht="12.75" customHeight="1" x14ac:dyDescent="0.2">
      <c r="A97" s="27" t="str">
        <f t="shared" si="12"/>
        <v> JAAVSO 41;122 </v>
      </c>
      <c r="B97" s="4" t="str">
        <f t="shared" si="13"/>
        <v>I</v>
      </c>
      <c r="C97" s="27">
        <f t="shared" si="14"/>
        <v>56074.777900000001</v>
      </c>
      <c r="D97" t="str">
        <f t="shared" si="15"/>
        <v>vis</v>
      </c>
      <c r="E97">
        <f>VLOOKUP(C97,Active!C$21:E$970,3,FALSE)</f>
        <v>2994.0107333944438</v>
      </c>
      <c r="F97" s="4" t="s">
        <v>108</v>
      </c>
      <c r="G97" t="str">
        <f t="shared" si="16"/>
        <v>56074.7779</v>
      </c>
      <c r="H97" s="27">
        <f t="shared" si="17"/>
        <v>11309</v>
      </c>
      <c r="I97" s="54" t="s">
        <v>360</v>
      </c>
      <c r="J97" s="55" t="s">
        <v>361</v>
      </c>
      <c r="K97" s="54">
        <v>11309</v>
      </c>
      <c r="L97" s="54" t="s">
        <v>362</v>
      </c>
      <c r="M97" s="55" t="s">
        <v>119</v>
      </c>
      <c r="N97" s="55" t="s">
        <v>108</v>
      </c>
      <c r="O97" s="56" t="s">
        <v>127</v>
      </c>
      <c r="P97" s="56" t="s">
        <v>93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5" r:id="rId3" xr:uid="{00000000-0004-0000-0100-000002000000}"/>
    <hyperlink ref="P16" r:id="rId4" xr:uid="{00000000-0004-0000-0100-000003000000}"/>
    <hyperlink ref="P17" r:id="rId5" xr:uid="{00000000-0004-0000-0100-000004000000}"/>
    <hyperlink ref="P18" r:id="rId6" xr:uid="{00000000-0004-0000-0100-000005000000}"/>
    <hyperlink ref="P19" r:id="rId7" xr:uid="{00000000-0004-0000-0100-000006000000}"/>
    <hyperlink ref="P20" r:id="rId8" xr:uid="{00000000-0004-0000-0100-000007000000}"/>
    <hyperlink ref="P21" r:id="rId9" xr:uid="{00000000-0004-0000-0100-000008000000}"/>
    <hyperlink ref="P22" r:id="rId10" xr:uid="{00000000-0004-0000-0100-000009000000}"/>
    <hyperlink ref="P39" r:id="rId11" xr:uid="{00000000-0004-0000-0100-00000A000000}"/>
    <hyperlink ref="P94" r:id="rId12" xr:uid="{00000000-0004-0000-0100-00000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2022-04-03T03:06:50Z</dcterms:created>
  <dcterms:modified xsi:type="dcterms:W3CDTF">2023-08-18T07:02:25Z</dcterms:modified>
</cp:coreProperties>
</file>