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11BC34A-D3CD-4BE7-BDFB-A24C4D63E7F1}" xr6:coauthVersionLast="47" xr6:coauthVersionMax="47" xr10:uidLastSave="{00000000-0000-0000-0000-000000000000}"/>
  <bookViews>
    <workbookView xWindow="13560" yWindow="420" windowWidth="14535" windowHeight="14475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84" i="1" l="1"/>
  <c r="F84" i="1" s="1"/>
  <c r="G84" i="1" s="1"/>
  <c r="Q84" i="1"/>
  <c r="E84" i="3"/>
  <c r="F84" i="3" s="1"/>
  <c r="G84" i="3" s="1"/>
  <c r="K84" i="3" s="1"/>
  <c r="Q84" i="3"/>
  <c r="F24" i="3"/>
  <c r="G24" i="3"/>
  <c r="H24" i="3"/>
  <c r="F32" i="3"/>
  <c r="G32" i="3"/>
  <c r="H32" i="3"/>
  <c r="F40" i="3"/>
  <c r="G40" i="3"/>
  <c r="H40" i="3"/>
  <c r="C9" i="3"/>
  <c r="D9" i="3"/>
  <c r="E45" i="3"/>
  <c r="F45" i="3"/>
  <c r="G45" i="3"/>
  <c r="H45" i="3"/>
  <c r="E46" i="3"/>
  <c r="F46" i="3"/>
  <c r="G46" i="3"/>
  <c r="H46" i="3"/>
  <c r="E47" i="3"/>
  <c r="F47" i="3"/>
  <c r="G47" i="3"/>
  <c r="H47" i="3"/>
  <c r="E48" i="3"/>
  <c r="F48" i="3"/>
  <c r="G48" i="3"/>
  <c r="H48" i="3"/>
  <c r="E49" i="3"/>
  <c r="F49" i="3"/>
  <c r="G49" i="3"/>
  <c r="H49" i="3"/>
  <c r="E50" i="3"/>
  <c r="F50" i="3"/>
  <c r="G50" i="3"/>
  <c r="E51" i="3"/>
  <c r="F51" i="3"/>
  <c r="G51" i="3"/>
  <c r="E52" i="3"/>
  <c r="F52" i="3"/>
  <c r="G52" i="3"/>
  <c r="H52" i="3"/>
  <c r="E53" i="3"/>
  <c r="F53" i="3"/>
  <c r="G53" i="3"/>
  <c r="H53" i="3"/>
  <c r="E54" i="3"/>
  <c r="F54" i="3"/>
  <c r="G54" i="3"/>
  <c r="H54" i="3"/>
  <c r="E55" i="3"/>
  <c r="F55" i="3"/>
  <c r="G55" i="3"/>
  <c r="H55" i="3"/>
  <c r="E56" i="3"/>
  <c r="F56" i="3"/>
  <c r="G56" i="3"/>
  <c r="H56" i="3"/>
  <c r="E57" i="3"/>
  <c r="F57" i="3"/>
  <c r="G57" i="3"/>
  <c r="H57" i="3"/>
  <c r="E58" i="3"/>
  <c r="F58" i="3"/>
  <c r="G58" i="3"/>
  <c r="E59" i="3"/>
  <c r="F59" i="3"/>
  <c r="G59" i="3"/>
  <c r="H59" i="3"/>
  <c r="E60" i="3"/>
  <c r="F60" i="3"/>
  <c r="G60" i="3"/>
  <c r="H60" i="3"/>
  <c r="E61" i="3"/>
  <c r="F61" i="3"/>
  <c r="G61" i="3"/>
  <c r="E62" i="3"/>
  <c r="F62" i="3"/>
  <c r="G62" i="3"/>
  <c r="H62" i="3"/>
  <c r="E63" i="3"/>
  <c r="F63" i="3"/>
  <c r="G63" i="3"/>
  <c r="H63" i="3"/>
  <c r="E64" i="3"/>
  <c r="F64" i="3"/>
  <c r="G64" i="3"/>
  <c r="H64" i="3"/>
  <c r="E65" i="3"/>
  <c r="F65" i="3"/>
  <c r="G65" i="3"/>
  <c r="H65" i="3"/>
  <c r="E66" i="3"/>
  <c r="F66" i="3"/>
  <c r="G66" i="3"/>
  <c r="E67" i="3"/>
  <c r="F67" i="3"/>
  <c r="G67" i="3"/>
  <c r="E68" i="3"/>
  <c r="F68" i="3"/>
  <c r="G68" i="3"/>
  <c r="H68" i="3"/>
  <c r="E69" i="3"/>
  <c r="F69" i="3"/>
  <c r="G69" i="3"/>
  <c r="H69" i="3"/>
  <c r="E70" i="3"/>
  <c r="F70" i="3"/>
  <c r="G70" i="3"/>
  <c r="H70" i="3"/>
  <c r="E71" i="3"/>
  <c r="F71" i="3"/>
  <c r="G71" i="3"/>
  <c r="H71" i="3"/>
  <c r="E72" i="3"/>
  <c r="F72" i="3"/>
  <c r="G72" i="3"/>
  <c r="I72" i="3"/>
  <c r="E73" i="3"/>
  <c r="F73" i="3"/>
  <c r="G73" i="3"/>
  <c r="I73" i="3"/>
  <c r="E74" i="3"/>
  <c r="F74" i="3"/>
  <c r="G74" i="3"/>
  <c r="E75" i="3"/>
  <c r="F75" i="3"/>
  <c r="G75" i="3"/>
  <c r="E76" i="3"/>
  <c r="F76" i="3"/>
  <c r="G76" i="3"/>
  <c r="I76" i="3"/>
  <c r="E77" i="3"/>
  <c r="F77" i="3"/>
  <c r="G77" i="3"/>
  <c r="E78" i="3"/>
  <c r="F78" i="3"/>
  <c r="G78" i="3"/>
  <c r="I78" i="3"/>
  <c r="E79" i="3"/>
  <c r="F79" i="3"/>
  <c r="G79" i="3"/>
  <c r="I79" i="3"/>
  <c r="E80" i="3"/>
  <c r="F80" i="3"/>
  <c r="G80" i="3"/>
  <c r="I80" i="3"/>
  <c r="E81" i="3"/>
  <c r="F81" i="3"/>
  <c r="G81" i="3"/>
  <c r="I81" i="3"/>
  <c r="E82" i="3"/>
  <c r="F82" i="3"/>
  <c r="G82" i="3"/>
  <c r="I82" i="3"/>
  <c r="E83" i="3"/>
  <c r="F83" i="3"/>
  <c r="G83" i="3"/>
  <c r="I83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H50" i="3"/>
  <c r="Q50" i="3"/>
  <c r="H51" i="3"/>
  <c r="Q51" i="3"/>
  <c r="Q52" i="3"/>
  <c r="Q53" i="3"/>
  <c r="Q54" i="3"/>
  <c r="Q55" i="3"/>
  <c r="Q56" i="3"/>
  <c r="Q57" i="3"/>
  <c r="H58" i="3"/>
  <c r="Q58" i="3"/>
  <c r="Q59" i="3"/>
  <c r="Q60" i="3"/>
  <c r="H61" i="3"/>
  <c r="Q61" i="3"/>
  <c r="Q62" i="3"/>
  <c r="Q63" i="3"/>
  <c r="Q64" i="3"/>
  <c r="Q65" i="3"/>
  <c r="H66" i="3"/>
  <c r="Q66" i="3"/>
  <c r="H67" i="3"/>
  <c r="Q67" i="3"/>
  <c r="Q68" i="3"/>
  <c r="Q69" i="3"/>
  <c r="Q70" i="3"/>
  <c r="Q71" i="3"/>
  <c r="Q72" i="3"/>
  <c r="Q73" i="3"/>
  <c r="I74" i="3"/>
  <c r="Q74" i="3"/>
  <c r="I75" i="3"/>
  <c r="Q75" i="3"/>
  <c r="Q76" i="3"/>
  <c r="I77" i="3"/>
  <c r="Q77" i="3"/>
  <c r="Q78" i="3"/>
  <c r="Q79" i="3"/>
  <c r="Q80" i="3"/>
  <c r="Q81" i="3"/>
  <c r="Q82" i="3"/>
  <c r="Q83" i="3"/>
  <c r="D9" i="1"/>
  <c r="C9" i="1"/>
  <c r="F16" i="1"/>
  <c r="F17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H72" i="2"/>
  <c r="B72" i="2"/>
  <c r="G72" i="2"/>
  <c r="C72" i="2"/>
  <c r="D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E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C17" i="1"/>
  <c r="C7" i="1"/>
  <c r="E27" i="1"/>
  <c r="F27" i="1"/>
  <c r="C8" i="1"/>
  <c r="Q70" i="1"/>
  <c r="E18" i="2"/>
  <c r="E39" i="2"/>
  <c r="E50" i="2"/>
  <c r="E55" i="2"/>
  <c r="E21" i="2"/>
  <c r="E63" i="2"/>
  <c r="E33" i="2"/>
  <c r="E65" i="2"/>
  <c r="E60" i="2"/>
  <c r="E20" i="2"/>
  <c r="E27" i="2"/>
  <c r="E35" i="2"/>
  <c r="E38" i="2"/>
  <c r="E43" i="2"/>
  <c r="E54" i="2"/>
  <c r="E59" i="2"/>
  <c r="E41" i="2"/>
  <c r="E12" i="2"/>
  <c r="E11" i="2"/>
  <c r="E22" i="2"/>
  <c r="E67" i="2"/>
  <c r="E37" i="2"/>
  <c r="E69" i="2"/>
  <c r="G78" i="1"/>
  <c r="E75" i="1"/>
  <c r="F75" i="1"/>
  <c r="G71" i="1"/>
  <c r="E68" i="1"/>
  <c r="F68" i="1"/>
  <c r="G68" i="1"/>
  <c r="E61" i="1"/>
  <c r="F61" i="1"/>
  <c r="G61" i="1"/>
  <c r="G46" i="1"/>
  <c r="E21" i="1"/>
  <c r="F21" i="1"/>
  <c r="G21" i="1"/>
  <c r="E38" i="1"/>
  <c r="F38" i="1"/>
  <c r="G38" i="1"/>
  <c r="E31" i="1"/>
  <c r="F31" i="1"/>
  <c r="G36" i="1"/>
  <c r="G25" i="1"/>
  <c r="G74" i="1"/>
  <c r="E64" i="1"/>
  <c r="F64" i="1"/>
  <c r="G60" i="1"/>
  <c r="E57" i="1"/>
  <c r="F57" i="1"/>
  <c r="G57" i="1"/>
  <c r="E50" i="1"/>
  <c r="F50" i="1"/>
  <c r="E43" i="1"/>
  <c r="F43" i="1"/>
  <c r="G43" i="1"/>
  <c r="E24" i="1"/>
  <c r="F24" i="1"/>
  <c r="G24" i="1"/>
  <c r="G34" i="1"/>
  <c r="E67" i="1"/>
  <c r="F67" i="1"/>
  <c r="G67" i="1"/>
  <c r="E60" i="1"/>
  <c r="F60" i="1"/>
  <c r="E53" i="1"/>
  <c r="F53" i="1"/>
  <c r="G53" i="1"/>
  <c r="G45" i="1"/>
  <c r="E36" i="1"/>
  <c r="F36" i="1"/>
  <c r="E30" i="1"/>
  <c r="F30" i="1"/>
  <c r="E23" i="1"/>
  <c r="F23" i="1"/>
  <c r="E83" i="1"/>
  <c r="F83" i="1"/>
  <c r="G83" i="1"/>
  <c r="G23" i="1"/>
  <c r="E44" i="1"/>
  <c r="F44" i="1"/>
  <c r="G44" i="1"/>
  <c r="E74" i="1"/>
  <c r="F74" i="1"/>
  <c r="G59" i="1"/>
  <c r="E56" i="1"/>
  <c r="F56" i="1"/>
  <c r="E49" i="1"/>
  <c r="F49" i="1"/>
  <c r="E42" i="1"/>
  <c r="F42" i="1"/>
  <c r="G42" i="1"/>
  <c r="E35" i="1"/>
  <c r="F35" i="1"/>
  <c r="G32" i="1"/>
  <c r="E77" i="1"/>
  <c r="F77" i="1"/>
  <c r="G77" i="1"/>
  <c r="G69" i="1"/>
  <c r="E59" i="1"/>
  <c r="F59" i="1"/>
  <c r="G55" i="1"/>
  <c r="E52" i="1"/>
  <c r="F52" i="1"/>
  <c r="G52" i="1"/>
  <c r="E45" i="1"/>
  <c r="F45" i="1"/>
  <c r="E28" i="1"/>
  <c r="F28" i="1"/>
  <c r="E22" i="1"/>
  <c r="F22" i="1"/>
  <c r="G22" i="1"/>
  <c r="G41" i="1"/>
  <c r="G31" i="1"/>
  <c r="E80" i="1"/>
  <c r="F80" i="1"/>
  <c r="G80" i="1"/>
  <c r="G76" i="1"/>
  <c r="E73" i="1"/>
  <c r="F73" i="1"/>
  <c r="E66" i="1"/>
  <c r="F66" i="1"/>
  <c r="G66" i="1"/>
  <c r="G51" i="1"/>
  <c r="E48" i="1"/>
  <c r="F48" i="1"/>
  <c r="E40" i="1"/>
  <c r="F40" i="1"/>
  <c r="E34" i="1"/>
  <c r="F34" i="1"/>
  <c r="E82" i="1"/>
  <c r="F82" i="1"/>
  <c r="G82" i="1"/>
  <c r="E25" i="1"/>
  <c r="F25" i="1"/>
  <c r="E29" i="1"/>
  <c r="F29" i="1"/>
  <c r="E33" i="1"/>
  <c r="F33" i="1"/>
  <c r="G33" i="1"/>
  <c r="E37" i="1"/>
  <c r="F37" i="1"/>
  <c r="G37" i="1"/>
  <c r="E41" i="1"/>
  <c r="F41" i="1"/>
  <c r="E47" i="1"/>
  <c r="F47" i="1"/>
  <c r="G47" i="1"/>
  <c r="G49" i="1"/>
  <c r="E55" i="1"/>
  <c r="F55" i="1"/>
  <c r="E63" i="1"/>
  <c r="F63" i="1"/>
  <c r="G63" i="1"/>
  <c r="G65" i="1"/>
  <c r="E71" i="1"/>
  <c r="F71" i="1"/>
  <c r="G73" i="1"/>
  <c r="E79" i="1"/>
  <c r="F79" i="1"/>
  <c r="G30" i="1"/>
  <c r="E81" i="1"/>
  <c r="F81" i="1"/>
  <c r="G81" i="1"/>
  <c r="E46" i="1"/>
  <c r="F46" i="1"/>
  <c r="G48" i="1"/>
  <c r="E54" i="1"/>
  <c r="F54" i="1"/>
  <c r="G56" i="1"/>
  <c r="E62" i="1"/>
  <c r="F62" i="1"/>
  <c r="G62" i="1"/>
  <c r="G64" i="1"/>
  <c r="E70" i="1"/>
  <c r="F70" i="1"/>
  <c r="G70" i="1"/>
  <c r="E78" i="1"/>
  <c r="F78" i="1"/>
  <c r="G27" i="1"/>
  <c r="G35" i="1"/>
  <c r="G40" i="1"/>
  <c r="G29" i="1"/>
  <c r="G79" i="1"/>
  <c r="E76" i="1"/>
  <c r="F76" i="1"/>
  <c r="E69" i="1"/>
  <c r="F69" i="1"/>
  <c r="G54" i="1"/>
  <c r="E51" i="1"/>
  <c r="F51" i="1"/>
  <c r="E39" i="1"/>
  <c r="F39" i="1"/>
  <c r="G39" i="1"/>
  <c r="G28" i="1"/>
  <c r="G75" i="1"/>
  <c r="E72" i="1"/>
  <c r="F72" i="1"/>
  <c r="G72" i="1"/>
  <c r="E65" i="1"/>
  <c r="F65" i="1"/>
  <c r="E58" i="1"/>
  <c r="F58" i="1"/>
  <c r="G58" i="1"/>
  <c r="G50" i="1"/>
  <c r="E32" i="1"/>
  <c r="F32" i="1"/>
  <c r="E26" i="1"/>
  <c r="F26" i="1"/>
  <c r="G26" i="1"/>
  <c r="H66" i="1"/>
  <c r="H42" i="1"/>
  <c r="H24" i="1"/>
  <c r="H52" i="1"/>
  <c r="H43" i="1"/>
  <c r="H26" i="1"/>
  <c r="H39" i="1"/>
  <c r="H63" i="1"/>
  <c r="H38" i="1"/>
  <c r="K82" i="1"/>
  <c r="I80" i="1"/>
  <c r="H57" i="1"/>
  <c r="H21" i="1"/>
  <c r="H33" i="1"/>
  <c r="I81" i="1"/>
  <c r="H53" i="1"/>
  <c r="H58" i="1"/>
  <c r="H70" i="1"/>
  <c r="H47" i="1"/>
  <c r="I77" i="1"/>
  <c r="H44" i="1"/>
  <c r="H61" i="1"/>
  <c r="H22" i="1"/>
  <c r="H67" i="1"/>
  <c r="H68" i="1"/>
  <c r="I72" i="1"/>
  <c r="H62" i="1"/>
  <c r="H37" i="1"/>
  <c r="K83" i="1"/>
  <c r="H50" i="1"/>
  <c r="I79" i="1"/>
  <c r="H41" i="1"/>
  <c r="H69" i="1"/>
  <c r="H60" i="1"/>
  <c r="E70" i="2"/>
  <c r="E32" i="2"/>
  <c r="H40" i="1"/>
  <c r="H30" i="1"/>
  <c r="H32" i="1"/>
  <c r="E25" i="2"/>
  <c r="E49" i="2"/>
  <c r="E71" i="2"/>
  <c r="E62" i="2"/>
  <c r="E24" i="2"/>
  <c r="E30" i="2"/>
  <c r="E29" i="2"/>
  <c r="E66" i="2"/>
  <c r="E58" i="2"/>
  <c r="E26" i="2"/>
  <c r="H34" i="1"/>
  <c r="E68" i="2"/>
  <c r="I76" i="1"/>
  <c r="H27" i="1"/>
  <c r="E61" i="2"/>
  <c r="E72" i="2"/>
  <c r="H35" i="1"/>
  <c r="H49" i="1"/>
  <c r="I75" i="1"/>
  <c r="H55" i="1"/>
  <c r="H23" i="1"/>
  <c r="E23" i="2"/>
  <c r="H28" i="1"/>
  <c r="E53" i="2"/>
  <c r="E51" i="2"/>
  <c r="E14" i="2"/>
  <c r="E15" i="2"/>
  <c r="E56" i="2"/>
  <c r="H45" i="1"/>
  <c r="I74" i="1"/>
  <c r="H25" i="1"/>
  <c r="E19" i="2"/>
  <c r="H48" i="1"/>
  <c r="I73" i="1"/>
  <c r="H36" i="1"/>
  <c r="H71" i="1"/>
  <c r="E44" i="2"/>
  <c r="E47" i="2"/>
  <c r="H31" i="1"/>
  <c r="E45" i="2"/>
  <c r="E36" i="2"/>
  <c r="E46" i="2"/>
  <c r="E52" i="2"/>
  <c r="E57" i="2"/>
  <c r="E64" i="2"/>
  <c r="E42" i="2"/>
  <c r="E40" i="2"/>
  <c r="H54" i="1"/>
  <c r="E28" i="2"/>
  <c r="E48" i="2"/>
  <c r="E16" i="2"/>
  <c r="H56" i="1"/>
  <c r="H65" i="1"/>
  <c r="H29" i="1"/>
  <c r="E34" i="2"/>
  <c r="E13" i="2"/>
  <c r="H51" i="1"/>
  <c r="I78" i="1"/>
  <c r="H59" i="1"/>
  <c r="H64" i="1"/>
  <c r="H46" i="1"/>
  <c r="E31" i="2"/>
  <c r="C11" i="1"/>
  <c r="C12" i="3"/>
  <c r="C12" i="1"/>
  <c r="C11" i="3"/>
  <c r="O84" i="1" l="1"/>
  <c r="S84" i="1" s="1"/>
  <c r="K84" i="1"/>
  <c r="O84" i="3"/>
  <c r="O67" i="3"/>
  <c r="O49" i="3"/>
  <c r="O30" i="3"/>
  <c r="O52" i="3"/>
  <c r="O53" i="3"/>
  <c r="O63" i="3"/>
  <c r="O83" i="3"/>
  <c r="O29" i="3"/>
  <c r="O70" i="3"/>
  <c r="O50" i="3"/>
  <c r="O27" i="3"/>
  <c r="O47" i="3"/>
  <c r="O75" i="3"/>
  <c r="O57" i="3"/>
  <c r="O32" i="3"/>
  <c r="O60" i="3"/>
  <c r="O61" i="3"/>
  <c r="O72" i="3"/>
  <c r="O33" i="3"/>
  <c r="O56" i="3"/>
  <c r="O40" i="3"/>
  <c r="O46" i="3"/>
  <c r="O65" i="3"/>
  <c r="O34" i="3"/>
  <c r="O68" i="3"/>
  <c r="O69" i="3"/>
  <c r="O21" i="3"/>
  <c r="O55" i="3"/>
  <c r="O35" i="3"/>
  <c r="O24" i="3"/>
  <c r="O80" i="3"/>
  <c r="O54" i="3"/>
  <c r="O73" i="3"/>
  <c r="O36" i="3"/>
  <c r="O76" i="3"/>
  <c r="O77" i="3"/>
  <c r="O37" i="3"/>
  <c r="C15" i="3"/>
  <c r="O66" i="3"/>
  <c r="O39" i="3"/>
  <c r="O62" i="3"/>
  <c r="O22" i="3"/>
  <c r="O38" i="3"/>
  <c r="O82" i="3"/>
  <c r="O25" i="3"/>
  <c r="O48" i="3"/>
  <c r="O23" i="3"/>
  <c r="O71" i="3"/>
  <c r="O41" i="3"/>
  <c r="O43" i="3"/>
  <c r="O51" i="3"/>
  <c r="O78" i="3"/>
  <c r="O26" i="3"/>
  <c r="O42" i="3"/>
  <c r="O58" i="3"/>
  <c r="O74" i="3"/>
  <c r="O59" i="3"/>
  <c r="O81" i="3"/>
  <c r="O28" i="3"/>
  <c r="O44" i="3"/>
  <c r="O45" i="3"/>
  <c r="O31" i="3"/>
  <c r="O64" i="3"/>
  <c r="O79" i="3"/>
  <c r="C16" i="1"/>
  <c r="D18" i="1" s="1"/>
  <c r="C16" i="3"/>
  <c r="D18" i="3" s="1"/>
  <c r="O81" i="1"/>
  <c r="S81" i="1" s="1"/>
  <c r="O34" i="1"/>
  <c r="S34" i="1" s="1"/>
  <c r="O39" i="1"/>
  <c r="S39" i="1" s="1"/>
  <c r="O76" i="1"/>
  <c r="S76" i="1" s="1"/>
  <c r="O22" i="1"/>
  <c r="S22" i="1" s="1"/>
  <c r="O53" i="1"/>
  <c r="S53" i="1" s="1"/>
  <c r="O62" i="1"/>
  <c r="S62" i="1" s="1"/>
  <c r="O31" i="1"/>
  <c r="S31" i="1" s="1"/>
  <c r="O83" i="1"/>
  <c r="S83" i="1" s="1"/>
  <c r="O52" i="1"/>
  <c r="S52" i="1" s="1"/>
  <c r="O25" i="1"/>
  <c r="S25" i="1" s="1"/>
  <c r="O82" i="1"/>
  <c r="S82" i="1" s="1"/>
  <c r="O24" i="1"/>
  <c r="S24" i="1" s="1"/>
  <c r="O29" i="1"/>
  <c r="S29" i="1" s="1"/>
  <c r="O45" i="1"/>
  <c r="S45" i="1" s="1"/>
  <c r="O61" i="1"/>
  <c r="S61" i="1" s="1"/>
  <c r="O38" i="1"/>
  <c r="S38" i="1" s="1"/>
  <c r="O54" i="1"/>
  <c r="S54" i="1" s="1"/>
  <c r="O70" i="1"/>
  <c r="S70" i="1" s="1"/>
  <c r="O23" i="1"/>
  <c r="S23" i="1" s="1"/>
  <c r="O59" i="1"/>
  <c r="S59" i="1" s="1"/>
  <c r="O75" i="1"/>
  <c r="S75" i="1" s="1"/>
  <c r="O28" i="1"/>
  <c r="S28" i="1" s="1"/>
  <c r="O44" i="1"/>
  <c r="S44" i="1" s="1"/>
  <c r="O60" i="1"/>
  <c r="S60" i="1" s="1"/>
  <c r="O43" i="1"/>
  <c r="S43" i="1" s="1"/>
  <c r="O73" i="1"/>
  <c r="S73" i="1" s="1"/>
  <c r="O36" i="1"/>
  <c r="S36" i="1" s="1"/>
  <c r="O77" i="1"/>
  <c r="S77" i="1" s="1"/>
  <c r="C15" i="1"/>
  <c r="O40" i="1"/>
  <c r="S40" i="1" s="1"/>
  <c r="O80" i="1"/>
  <c r="S80" i="1" s="1"/>
  <c r="O46" i="1"/>
  <c r="S46" i="1" s="1"/>
  <c r="O67" i="1"/>
  <c r="S67" i="1" s="1"/>
  <c r="O41" i="1"/>
  <c r="S41" i="1" s="1"/>
  <c r="O35" i="1"/>
  <c r="S35" i="1" s="1"/>
  <c r="O33" i="1"/>
  <c r="S33" i="1" s="1"/>
  <c r="O49" i="1"/>
  <c r="S49" i="1" s="1"/>
  <c r="O65" i="1"/>
  <c r="S65" i="1" s="1"/>
  <c r="O42" i="1"/>
  <c r="S42" i="1" s="1"/>
  <c r="O58" i="1"/>
  <c r="S58" i="1" s="1"/>
  <c r="O74" i="1"/>
  <c r="S74" i="1" s="1"/>
  <c r="O27" i="1"/>
  <c r="S27" i="1" s="1"/>
  <c r="O47" i="1"/>
  <c r="S47" i="1" s="1"/>
  <c r="O63" i="1"/>
  <c r="S63" i="1" s="1"/>
  <c r="O79" i="1"/>
  <c r="S79" i="1" s="1"/>
  <c r="O32" i="1"/>
  <c r="S32" i="1" s="1"/>
  <c r="O48" i="1"/>
  <c r="S48" i="1" s="1"/>
  <c r="O64" i="1"/>
  <c r="S64" i="1" s="1"/>
  <c r="O21" i="1"/>
  <c r="S21" i="1" s="1"/>
  <c r="O78" i="1"/>
  <c r="S78" i="1" s="1"/>
  <c r="O30" i="1"/>
  <c r="S30" i="1" s="1"/>
  <c r="O72" i="1"/>
  <c r="S72" i="1" s="1"/>
  <c r="O57" i="1"/>
  <c r="S57" i="1" s="1"/>
  <c r="O66" i="1"/>
  <c r="S66" i="1" s="1"/>
  <c r="O71" i="1"/>
  <c r="S71" i="1" s="1"/>
  <c r="O56" i="1"/>
  <c r="S56" i="1" s="1"/>
  <c r="O69" i="1"/>
  <c r="S69" i="1" s="1"/>
  <c r="O26" i="1"/>
  <c r="S26" i="1" s="1"/>
  <c r="O37" i="1"/>
  <c r="S37" i="1" s="1"/>
  <c r="O51" i="1"/>
  <c r="S51" i="1" s="1"/>
  <c r="O68" i="1"/>
  <c r="S68" i="1" s="1"/>
  <c r="O55" i="1"/>
  <c r="S55" i="1" s="1"/>
  <c r="O50" i="1"/>
  <c r="S50" i="1" s="1"/>
  <c r="F17" i="3"/>
  <c r="C18" i="1" l="1"/>
  <c r="F18" i="1"/>
  <c r="F19" i="1" s="1"/>
  <c r="C18" i="3"/>
  <c r="F18" i="3"/>
  <c r="F19" i="3" s="1"/>
</calcChain>
</file>

<file path=xl/sharedStrings.xml><?xml version="1.0" encoding="utf-8"?>
<sst xmlns="http://schemas.openxmlformats.org/spreadsheetml/2006/main" count="917" uniqueCount="258">
  <si>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</si>
  <si>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</si>
  <si>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</si>
  <si>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</si>
  <si>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</si>
  <si>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</si>
  <si>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</si>
  <si>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</si>
  <si>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</si>
  <si>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</si>
  <si>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</si>
  <si>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</si>
  <si>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</si>
  <si>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</si>
  <si>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</si>
  <si>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</si>
  <si>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</si>
  <si>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</si>
  <si>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</si>
  <si>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</si>
  <si>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</si>
  <si>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</si>
  <si>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</si>
  <si>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</si>
  <si>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</si>
  <si>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</si>
  <si>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</si>
  <si>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</si>
  <si>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</si>
  <si>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EA/DM</t>
  </si>
  <si>
    <t># of data points:</t>
  </si>
  <si>
    <t>UY Vir / GSC 06115-00920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</si>
  <si>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</si>
  <si>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</si>
  <si>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</si>
  <si>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</si>
  <si>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</si>
  <si>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</si>
  <si>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</si>
  <si>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</si>
  <si>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</si>
  <si>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</si>
  <si>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</si>
  <si>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</si>
  <si>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2424286.40 </t>
  </si>
  <si>
    <t> 15.05.1925 21:36 </t>
  </si>
  <si>
    <t> -0.06 </t>
  </si>
  <si>
    <t>V </t>
  </si>
  <si>
    <t> F.Henz </t>
  </si>
  <si>
    <t> RWAR 43.5 </t>
  </si>
  <si>
    <t>2424288.423 </t>
  </si>
  <si>
    <t> 17.05.1925 22:09 </t>
  </si>
  <si>
    <t> -0.036 </t>
  </si>
  <si>
    <t>2424302.387 </t>
  </si>
  <si>
    <t> 31.05.1925 21:17 </t>
  </si>
  <si>
    <t> -0.034 </t>
  </si>
  <si>
    <t>2424306.389 </t>
  </si>
  <si>
    <t> 04.06.1925 21:20 </t>
  </si>
  <si>
    <t> -0.021 </t>
  </si>
  <si>
    <t>2424310.386 </t>
  </si>
  <si>
    <t> 08.06.1925 21:15 </t>
  </si>
  <si>
    <t> -0.013 </t>
  </si>
  <si>
    <t>2424312.386 </t>
  </si>
  <si>
    <t> 10.06.1925 21:15 </t>
  </si>
  <si>
    <t> -0.007 </t>
  </si>
  <si>
    <t>2425622.698 </t>
  </si>
  <si>
    <t> 11.01.1929 04:45 </t>
  </si>
  <si>
    <t> -0.085 </t>
  </si>
  <si>
    <t>P </t>
  </si>
  <si>
    <t> O.Morgenroth </t>
  </si>
  <si>
    <t> AN 263.165 </t>
  </si>
  <si>
    <t>2425680.592 </t>
  </si>
  <si>
    <t> 10.03.1929 02:12 </t>
  </si>
  <si>
    <t> -0.032 </t>
  </si>
  <si>
    <t> W.Wenzel </t>
  </si>
  <si>
    <t> MVS 141 </t>
  </si>
  <si>
    <t>2425740.390 </t>
  </si>
  <si>
    <t> 08.05.1929 21:21 </t>
  </si>
  <si>
    <t> -0.069 </t>
  </si>
  <si>
    <t>2426057.549 </t>
  </si>
  <si>
    <t> 22.03.1930 01:10 </t>
  </si>
  <si>
    <t>2426065.545 </t>
  </si>
  <si>
    <t> 30.03.1930 01:04 </t>
  </si>
  <si>
    <t> -0.018 </t>
  </si>
  <si>
    <t>2426089.451 </t>
  </si>
  <si>
    <t> 22.04.1930 22:49 </t>
  </si>
  <si>
    <t> -0.046 </t>
  </si>
  <si>
    <t>2426091.426 </t>
  </si>
  <si>
    <t> 24.04.1930 22:13 </t>
  </si>
  <si>
    <t> -0.066 </t>
  </si>
  <si>
    <t>2426095.450 </t>
  </si>
  <si>
    <t> 28.04.1930 22:48 </t>
  </si>
  <si>
    <t> -0.031 </t>
  </si>
  <si>
    <t>2426113.401 </t>
  </si>
  <si>
    <t> 16.05.1930 21:37 </t>
  </si>
  <si>
    <t>2426396.511 </t>
  </si>
  <si>
    <t> 24.02.1931 00:15 </t>
  </si>
  <si>
    <t> -0.140 </t>
  </si>
  <si>
    <t>2426414.525 </t>
  </si>
  <si>
    <t> 14.03.1931 00:36 </t>
  </si>
  <si>
    <t> -0.077 </t>
  </si>
  <si>
    <t>2426440.479 </t>
  </si>
  <si>
    <t> 08.04.1931 23:29 </t>
  </si>
  <si>
    <t> -0.051 </t>
  </si>
  <si>
    <t>2426448.468 </t>
  </si>
  <si>
    <t> 16.04.1931 23:13 </t>
  </si>
  <si>
    <t> -0.040 </t>
  </si>
  <si>
    <t>2426478.407 </t>
  </si>
  <si>
    <t> 16.05.1931 21:46 </t>
  </si>
  <si>
    <t> -0.019 </t>
  </si>
  <si>
    <t>2426769.550 </t>
  </si>
  <si>
    <t> 03.03.1932 01:12 </t>
  </si>
  <si>
    <t> -0.074 </t>
  </si>
  <si>
    <t>2426823.443 </t>
  </si>
  <si>
    <t> 25.04.1932 22:37 </t>
  </si>
  <si>
    <t>2427533.477 </t>
  </si>
  <si>
    <t> 05.04.1934 23:26 </t>
  </si>
  <si>
    <t> -0.042 </t>
  </si>
  <si>
    <t>2428219.584 </t>
  </si>
  <si>
    <t> 21.02.1936 02:00 </t>
  </si>
  <si>
    <t> -0.045 </t>
  </si>
  <si>
    <t>2428249.487 </t>
  </si>
  <si>
    <t> 21.03.1936 23:41 </t>
  </si>
  <si>
    <t> -0.059 </t>
  </si>
  <si>
    <t>2428285.500 </t>
  </si>
  <si>
    <t> 27.04.1936 00:00 </t>
  </si>
  <si>
    <t> 0.052 </t>
  </si>
  <si>
    <t> F.Lause </t>
  </si>
  <si>
    <t> AN 264.107 </t>
  </si>
  <si>
    <t>2428297.465 </t>
  </si>
  <si>
    <t> 08.05.1936 23:09 </t>
  </si>
  <si>
    <t> 0.050 </t>
  </si>
  <si>
    <t>2428313.426 </t>
  </si>
  <si>
    <t> 24.05.1936 22:13 </t>
  </si>
  <si>
    <t> 0.055 </t>
  </si>
  <si>
    <t>2428626.469 </t>
  </si>
  <si>
    <t> 02.04.1937 23:15 </t>
  </si>
  <si>
    <t> -0.039 </t>
  </si>
  <si>
    <t>2428634.510 </t>
  </si>
  <si>
    <t> 11.04.1937 00:14 </t>
  </si>
  <si>
    <t> 0.024 </t>
  </si>
  <si>
    <t>2428636.520 </t>
  </si>
  <si>
    <t> 13.04.1937 00:28 </t>
  </si>
  <si>
    <t> 0.040 </t>
  </si>
  <si>
    <t>2428638.504 </t>
  </si>
  <si>
    <t> 15.04.1937 00:05 </t>
  </si>
  <si>
    <t> 0.029 </t>
  </si>
  <si>
    <t>2428658.372 </t>
  </si>
  <si>
    <t> 04.05.1937 20:55 </t>
  </si>
  <si>
    <t> -0.048 </t>
  </si>
  <si>
    <t>2428660.465 </t>
  </si>
  <si>
    <t> 06.05.1937 23:09 </t>
  </si>
  <si>
    <t>2428664.429 </t>
  </si>
  <si>
    <t> 10.05.1937 22:17 </t>
  </si>
  <si>
    <t> 0.025 </t>
  </si>
  <si>
    <t>2428684.384 </t>
  </si>
  <si>
    <t> 30.05.1937 21:12 </t>
  </si>
  <si>
    <t> 0.035 </t>
  </si>
  <si>
    <t>2428690.397 </t>
  </si>
  <si>
    <t> 05.06.1937 21:31 </t>
  </si>
  <si>
    <t> 0.065 </t>
  </si>
  <si>
    <t>2428692.365 </t>
  </si>
  <si>
    <t> 07.06.1937 20:45 </t>
  </si>
  <si>
    <t> 0.038 </t>
  </si>
  <si>
    <t>2428692.43 </t>
  </si>
  <si>
    <t> 07.06.1937 22:19 </t>
  </si>
  <si>
    <t> 0.10 </t>
  </si>
  <si>
    <t> J.Gadomski </t>
  </si>
  <si>
    <t> AN 263.166 </t>
  </si>
  <si>
    <t>2428694.341 </t>
  </si>
  <si>
    <t> 09.06.1937 20:11 </t>
  </si>
  <si>
    <t> 0.020 </t>
  </si>
  <si>
    <t>2428951.544 </t>
  </si>
  <si>
    <t> 22.02.1938 01:03 </t>
  </si>
  <si>
    <t> -0.068 </t>
  </si>
  <si>
    <t>2428953.551 </t>
  </si>
  <si>
    <t> 24.02.1938 01:13 </t>
  </si>
  <si>
    <t> -0.056 </t>
  </si>
  <si>
    <t>2429007.427 </t>
  </si>
  <si>
    <t> 18.04.1938 22:14 </t>
  </si>
  <si>
    <t>2429374.441 </t>
  </si>
  <si>
    <t> 20.04.1939 22:35 </t>
  </si>
  <si>
    <t> -0.006 </t>
  </si>
  <si>
    <t>2429376.443 </t>
  </si>
  <si>
    <t> 22.04.1939 22:37 </t>
  </si>
  <si>
    <t> 0.001 </t>
  </si>
  <si>
    <t>2429400.415 </t>
  </si>
  <si>
    <t> 16.05.1939 21:57 </t>
  </si>
  <si>
    <t> 0.039 </t>
  </si>
  <si>
    <t>2429442.272 </t>
  </si>
  <si>
    <t> 27.06.1939 18:31 </t>
  </si>
  <si>
    <t> 0.011 </t>
  </si>
  <si>
    <t> S.Gaposchkin </t>
  </si>
  <si>
    <t> HA 113.77 </t>
  </si>
  <si>
    <t>2429727.499 </t>
  </si>
  <si>
    <t> 07.04.1940 23:58 </t>
  </si>
  <si>
    <t>2429747.428 </t>
  </si>
  <si>
    <t> 27.04.1940 22:16 </t>
  </si>
  <si>
    <t> 0.008 </t>
  </si>
  <si>
    <t>2430377.651 </t>
  </si>
  <si>
    <t> 18.01.1942 03:37 </t>
  </si>
  <si>
    <t>2430431.578 </t>
  </si>
  <si>
    <t> 13.03.1942 01:52 </t>
  </si>
  <si>
    <t> 0.043 </t>
  </si>
  <si>
    <t>2430457.491 </t>
  </si>
  <si>
    <t> 07.04.1942 23:47 </t>
  </si>
  <si>
    <t> 0.027 </t>
  </si>
  <si>
    <t>2430461.451 </t>
  </si>
  <si>
    <t> 11.04.1942 22:49 </t>
  </si>
  <si>
    <t> -0.002 </t>
  </si>
  <si>
    <t>2430465.428 </t>
  </si>
  <si>
    <t> 15.04.1942 22:16 </t>
  </si>
  <si>
    <t> -0.014 </t>
  </si>
  <si>
    <t>2430784.569 </t>
  </si>
  <si>
    <t> 01.03.1943 01:39 </t>
  </si>
  <si>
    <t> 0.007 </t>
  </si>
  <si>
    <t>2430792.563 </t>
  </si>
  <si>
    <t> 09.03.1943 01:30 </t>
  </si>
  <si>
    <t> 0.023 </t>
  </si>
  <si>
    <t>2430818.506 </t>
  </si>
  <si>
    <t> 04.04.1943 00:08 </t>
  </si>
  <si>
    <t> 0.037 </t>
  </si>
  <si>
    <t>2430820.455 </t>
  </si>
  <si>
    <t> 05.04.1943 22:55 </t>
  </si>
  <si>
    <t> -0.009 </t>
  </si>
  <si>
    <t>2430848.409 </t>
  </si>
  <si>
    <t> 03.05.1943 21:48 </t>
  </si>
  <si>
    <t> 0.022 </t>
  </si>
  <si>
    <t>2451642.484 </t>
  </si>
  <si>
    <t> 07.04.2000 23:36 </t>
  </si>
  <si>
    <t> 2.379 </t>
  </si>
  <si>
    <t>E </t>
  </si>
  <si>
    <t>?</t>
  </si>
  <si>
    <t> A.Paschke </t>
  </si>
  <si>
    <t> BBS 123 </t>
  </si>
  <si>
    <t>2452019.417 </t>
  </si>
  <si>
    <t> 19.04.2001 22:00 </t>
  </si>
  <si>
    <t> 2.351 </t>
  </si>
  <si>
    <t> A.Viertel </t>
  </si>
  <si>
    <t>BAVM 143 </t>
  </si>
  <si>
    <t>2452023.403 </t>
  </si>
  <si>
    <t> 23.04.2001 21:40 </t>
  </si>
  <si>
    <t> 2.347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</si>
  <si>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</si>
  <si>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</si>
  <si>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</si>
  <si>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</si>
  <si>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</si>
  <si>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</si>
  <si>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</si>
  <si>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</si>
  <si>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</si>
  <si>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</si>
  <si>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diff</t>
  </si>
  <si>
    <t>Possible quadratic fit?</t>
  </si>
  <si>
    <t>It is impossible to say</t>
  </si>
  <si>
    <t>Alternate cycle cout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</si>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</sst>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2" fillId="2" borderId="12" xfId="7" applyFill="1" applyBorder="1" applyAlignment="1" applyProtection="1">
      <alignment horizontal="right" vertical="top" wrapText="1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10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16" fillId="3" borderId="0" xfId="0" applyFont="1" applyFill="1" applyAlignment="1"/>
    <xf numFmtId="0" fontId="8" fillId="4" borderId="0" xfId="0" applyFont="1" applyFill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7" fillId="0" borderId="0" xfId="0" applyFont="1" applyAlignment="1"/>
    <xf numFmtId="0" fontId="14" fillId="0" borderId="0" xfId="0" applyFont="1" applyAlignment="1">
      <alignment horizontal="right" vertical="top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76" fontId="19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Vir - O-C Diagr.</a:t>
            </a:r>
          </a:p>
        </c:rich>
      </c:tx>
      <c:layout>
        <c:manualLayout>
          <c:xMode val="edge"/>
          <c:yMode val="edge"/>
          <c:x val="0.384491453915594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1673149479653"/>
          <c:y val="0.14906854902912253"/>
          <c:w val="0.8336032423793751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1.3580000000001746</c:v>
                </c:pt>
                <c:pt idx="1">
                  <c:v>1.385999999998603</c:v>
                </c:pt>
                <c:pt idx="2">
                  <c:v>1.3849999999983993</c:v>
                </c:pt>
                <c:pt idx="3">
                  <c:v>1.396999999997206</c:v>
                </c:pt>
                <c:pt idx="4">
                  <c:v>1.4039999999986321</c:v>
                </c:pt>
                <c:pt idx="5">
                  <c:v>1.4089999999996508</c:v>
                </c:pt>
                <c:pt idx="6">
                  <c:v>1.0059999999975844</c:v>
                </c:pt>
                <c:pt idx="7">
                  <c:v>1.0449999999982538</c:v>
                </c:pt>
                <c:pt idx="8">
                  <c:v>0.99299999999857391</c:v>
                </c:pt>
                <c:pt idx="9">
                  <c:v>0.94699999999647844</c:v>
                </c:pt>
                <c:pt idx="10">
                  <c:v>0.96299999999610009</c:v>
                </c:pt>
                <c:pt idx="11">
                  <c:v>0.92900000000008731</c:v>
                </c:pt>
                <c:pt idx="12">
                  <c:v>0.90899999999965075</c:v>
                </c:pt>
                <c:pt idx="13">
                  <c:v>0.94299999999930151</c:v>
                </c:pt>
                <c:pt idx="14">
                  <c:v>0.93900000000212458</c:v>
                </c:pt>
                <c:pt idx="15">
                  <c:v>0.75899999999819556</c:v>
                </c:pt>
                <c:pt idx="16">
                  <c:v>0.81799999999930151</c:v>
                </c:pt>
                <c:pt idx="17">
                  <c:v>0.83699999999953434</c:v>
                </c:pt>
                <c:pt idx="18">
                  <c:v>0.8459999999977299</c:v>
                </c:pt>
                <c:pt idx="19">
                  <c:v>0.8599999999969441</c:v>
                </c:pt>
                <c:pt idx="20">
                  <c:v>0.73299999999653664</c:v>
                </c:pt>
                <c:pt idx="21">
                  <c:v>0.76099999999860302</c:v>
                </c:pt>
                <c:pt idx="22">
                  <c:v>0.57499999999708962</c:v>
                </c:pt>
                <c:pt idx="23">
                  <c:v>0.40199999999822467</c:v>
                </c:pt>
                <c:pt idx="24">
                  <c:v>0.38000000000101863</c:v>
                </c:pt>
                <c:pt idx="25">
                  <c:v>0.48300000000017462</c:v>
                </c:pt>
                <c:pt idx="26">
                  <c:v>0.47799999999915599</c:v>
                </c:pt>
                <c:pt idx="27">
                  <c:v>0.47899999999935972</c:v>
                </c:pt>
                <c:pt idx="28">
                  <c:v>0.30700000000069849</c:v>
                </c:pt>
                <c:pt idx="29">
                  <c:v>0.36799999999857391</c:v>
                </c:pt>
                <c:pt idx="30">
                  <c:v>0.38299999999799184</c:v>
                </c:pt>
                <c:pt idx="31">
                  <c:v>0.37199999999938882</c:v>
                </c:pt>
                <c:pt idx="32">
                  <c:v>0.28999999999723514</c:v>
                </c:pt>
                <c:pt idx="33">
                  <c:v>0.38799999999901047</c:v>
                </c:pt>
                <c:pt idx="34">
                  <c:v>0.36199999999735155</c:v>
                </c:pt>
                <c:pt idx="35">
                  <c:v>0.36699999999837019</c:v>
                </c:pt>
                <c:pt idx="36">
                  <c:v>0.39500000000043656</c:v>
                </c:pt>
                <c:pt idx="37">
                  <c:v>0.36799999999857391</c:v>
                </c:pt>
                <c:pt idx="38">
                  <c:v>0.43299999999726424</c:v>
                </c:pt>
                <c:pt idx="39">
                  <c:v>0.34899999999834108</c:v>
                </c:pt>
                <c:pt idx="40">
                  <c:v>0.19700000000011642</c:v>
                </c:pt>
                <c:pt idx="41">
                  <c:v>0.20899999999892316</c:v>
                </c:pt>
                <c:pt idx="42">
                  <c:v>0.21999999999752617</c:v>
                </c:pt>
                <c:pt idx="43">
                  <c:v>0.15399999999863212</c:v>
                </c:pt>
                <c:pt idx="44">
                  <c:v>0.16099999999642023</c:v>
                </c:pt>
                <c:pt idx="45">
                  <c:v>0.19299999999930151</c:v>
                </c:pt>
                <c:pt idx="46">
                  <c:v>0.15499999999883585</c:v>
                </c:pt>
                <c:pt idx="47">
                  <c:v>9.6999999997933628E-2</c:v>
                </c:pt>
                <c:pt idx="48">
                  <c:v>7.5999999997293344E-2</c:v>
                </c:pt>
                <c:pt idx="49">
                  <c:v>0</c:v>
                </c:pt>
                <c:pt idx="50">
                  <c:v>-0.12099999999918509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B-4AB7-A567-340F794A4DD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51">
                  <c:v>-5.9000000001105946E-2</c:v>
                </c:pt>
                <c:pt idx="52">
                  <c:v>-8.0999999998311978E-2</c:v>
                </c:pt>
                <c:pt idx="53">
                  <c:v>-0.1110000000007858</c:v>
                </c:pt>
                <c:pt idx="54">
                  <c:v>-0.12399999999979627</c:v>
                </c:pt>
                <c:pt idx="55">
                  <c:v>-0.18300000000090222</c:v>
                </c:pt>
                <c:pt idx="56">
                  <c:v>-0.16900000000168802</c:v>
                </c:pt>
                <c:pt idx="57">
                  <c:v>-0.16100000000005821</c:v>
                </c:pt>
                <c:pt idx="58">
                  <c:v>-0.2069999999985157</c:v>
                </c:pt>
                <c:pt idx="59">
                  <c:v>-0.18300000000090222</c:v>
                </c:pt>
                <c:pt idx="60">
                  <c:v>-5.978000000002794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8B-4AB7-A567-340F794A4DD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8B-4AB7-A567-340F794A4DD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61">
                  <c:v>-6.1000000000058208</c:v>
                </c:pt>
                <c:pt idx="62">
                  <c:v>-6.1039999999993597</c:v>
                </c:pt>
                <c:pt idx="63">
                  <c:v>-6.2193000000406755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8B-4AB7-A567-340F794A4DD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8B-4AB7-A567-340F794A4DD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8B-4AB7-A567-340F794A4DD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8B-4AB7-A567-340F794A4DD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1.4427098661072308</c:v>
                </c:pt>
                <c:pt idx="1">
                  <c:v>1.4422076698321233</c:v>
                </c:pt>
                <c:pt idx="2">
                  <c:v>1.4386922959063715</c:v>
                </c:pt>
                <c:pt idx="3">
                  <c:v>1.4376879033561567</c:v>
                </c:pt>
                <c:pt idx="4">
                  <c:v>1.4366835108059419</c:v>
                </c:pt>
                <c:pt idx="5">
                  <c:v>1.4361813145308344</c:v>
                </c:pt>
                <c:pt idx="6">
                  <c:v>1.1062383617852682</c:v>
                </c:pt>
                <c:pt idx="7">
                  <c:v>1.0916746698071536</c:v>
                </c:pt>
                <c:pt idx="8">
                  <c:v>1.0766087815539314</c:v>
                </c:pt>
                <c:pt idx="9">
                  <c:v>0.99675957381185365</c:v>
                </c:pt>
                <c:pt idx="10">
                  <c:v>0.99475078871142397</c:v>
                </c:pt>
                <c:pt idx="11">
                  <c:v>0.98872443341013516</c:v>
                </c:pt>
                <c:pt idx="12">
                  <c:v>0.98822223713502766</c:v>
                </c:pt>
                <c:pt idx="13">
                  <c:v>0.98721784458481288</c:v>
                </c:pt>
                <c:pt idx="14">
                  <c:v>0.98269807810884624</c:v>
                </c:pt>
                <c:pt idx="15">
                  <c:v>0.91138620704359452</c:v>
                </c:pt>
                <c:pt idx="16">
                  <c:v>0.90686644056762777</c:v>
                </c:pt>
                <c:pt idx="17">
                  <c:v>0.90033788899123157</c:v>
                </c:pt>
                <c:pt idx="18">
                  <c:v>0.89832910389080189</c:v>
                </c:pt>
                <c:pt idx="19">
                  <c:v>0.8907961597641908</c:v>
                </c:pt>
                <c:pt idx="20">
                  <c:v>0.8174755035985094</c:v>
                </c:pt>
                <c:pt idx="21">
                  <c:v>0.80391620417060949</c:v>
                </c:pt>
                <c:pt idx="22">
                  <c:v>0.62513433023237264</c:v>
                </c:pt>
                <c:pt idx="23">
                  <c:v>0.45237881159542476</c:v>
                </c:pt>
                <c:pt idx="24">
                  <c:v>0.44484586746881366</c:v>
                </c:pt>
                <c:pt idx="25">
                  <c:v>0.43580633451688033</c:v>
                </c:pt>
                <c:pt idx="26">
                  <c:v>0.43279315686623593</c:v>
                </c:pt>
                <c:pt idx="27">
                  <c:v>0.42877558666537663</c:v>
                </c:pt>
                <c:pt idx="28">
                  <c:v>0.34993077147351381</c:v>
                </c:pt>
                <c:pt idx="29">
                  <c:v>0.34792198637308419</c:v>
                </c:pt>
                <c:pt idx="30">
                  <c:v>0.34741979009797674</c:v>
                </c:pt>
                <c:pt idx="31">
                  <c:v>0.34691759382286935</c:v>
                </c:pt>
                <c:pt idx="32">
                  <c:v>0.34189563107179527</c:v>
                </c:pt>
                <c:pt idx="33">
                  <c:v>0.34139343479668788</c:v>
                </c:pt>
                <c:pt idx="34">
                  <c:v>0.34038904224647309</c:v>
                </c:pt>
                <c:pt idx="35">
                  <c:v>0.33536707949539901</c:v>
                </c:pt>
                <c:pt idx="36">
                  <c:v>0.33386049067007678</c:v>
                </c:pt>
                <c:pt idx="37">
                  <c:v>0.33335829439496939</c:v>
                </c:pt>
                <c:pt idx="38">
                  <c:v>0.33335829439496939</c:v>
                </c:pt>
                <c:pt idx="39">
                  <c:v>0.332856098119862</c:v>
                </c:pt>
                <c:pt idx="40">
                  <c:v>0.26807277863100654</c:v>
                </c:pt>
                <c:pt idx="41">
                  <c:v>0.26757058235589909</c:v>
                </c:pt>
                <c:pt idx="42">
                  <c:v>0.25401128292799913</c:v>
                </c:pt>
                <c:pt idx="43">
                  <c:v>0.16160716830823629</c:v>
                </c:pt>
                <c:pt idx="44">
                  <c:v>0.16110497203312887</c:v>
                </c:pt>
                <c:pt idx="45">
                  <c:v>0.15507861673184001</c:v>
                </c:pt>
                <c:pt idx="46">
                  <c:v>0.14453249495458445</c:v>
                </c:pt>
                <c:pt idx="47">
                  <c:v>7.2718427614225312E-2</c:v>
                </c:pt>
                <c:pt idx="48">
                  <c:v>6.7696464863151243E-2</c:v>
                </c:pt>
                <c:pt idx="49">
                  <c:v>-1.1044248265634771E-3</c:v>
                </c:pt>
                <c:pt idx="50">
                  <c:v>-9.099755807078927E-2</c:v>
                </c:pt>
                <c:pt idx="51">
                  <c:v>-0.10455685749868926</c:v>
                </c:pt>
                <c:pt idx="52">
                  <c:v>-0.11108540907508554</c:v>
                </c:pt>
                <c:pt idx="53">
                  <c:v>-0.11208980162530036</c:v>
                </c:pt>
                <c:pt idx="54">
                  <c:v>-0.11309419417551517</c:v>
                </c:pt>
                <c:pt idx="55">
                  <c:v>-0.19344559819270024</c:v>
                </c:pt>
                <c:pt idx="56">
                  <c:v>-0.19545438329312986</c:v>
                </c:pt>
                <c:pt idx="57">
                  <c:v>-0.20198293486952615</c:v>
                </c:pt>
                <c:pt idx="58">
                  <c:v>-0.20248513114463357</c:v>
                </c:pt>
                <c:pt idx="59">
                  <c:v>-0.20951587899613724</c:v>
                </c:pt>
                <c:pt idx="60">
                  <c:v>-5.4454142432659598</c:v>
                </c:pt>
                <c:pt idx="61">
                  <c:v>-5.5403293392612589</c:v>
                </c:pt>
                <c:pt idx="62">
                  <c:v>-5.5413337318114735</c:v>
                </c:pt>
                <c:pt idx="63">
                  <c:v>-7.4526927548702648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8B-4AB7-A567-340F794A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718728"/>
        <c:axId val="1"/>
      </c:scatterChart>
      <c:valAx>
        <c:axId val="674718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1166558542056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718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9387802695907"/>
          <c:y val="0.91925596256989606"/>
          <c:w val="0.6752832228766234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Vir - Residuals from linear fit</a:t>
            </a:r>
          </a:p>
        </c:rich>
      </c:tx>
      <c:layout>
        <c:manualLayout>
          <c:xMode val="edge"/>
          <c:yMode val="edge"/>
          <c:x val="0.303225806451612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1'!$S$20</c:f>
              <c:strCache>
                <c:ptCount val="1"/>
                <c:pt idx="0">
                  <c:v>diff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1'!$S$21:$S$999</c:f>
              <c:numCache>
                <c:formatCode>General</c:formatCode>
                <c:ptCount val="979"/>
                <c:pt idx="0">
                  <c:v>-8.470986610705622E-2</c:v>
                </c:pt>
                <c:pt idx="1">
                  <c:v>-5.6207669833520324E-2</c:v>
                </c:pt>
                <c:pt idx="2">
                  <c:v>-5.3692295907972198E-2</c:v>
                </c:pt>
                <c:pt idx="3">
                  <c:v>-4.0687903358950672E-2</c:v>
                </c:pt>
                <c:pt idx="4">
                  <c:v>-3.2683510807309801E-2</c:v>
                </c:pt>
                <c:pt idx="5">
                  <c:v>-2.7181314531183665E-2</c:v>
                </c:pt>
                <c:pt idx="6">
                  <c:v>-0.10023836178768386</c:v>
                </c:pt>
                <c:pt idx="7">
                  <c:v>-4.6674669808899782E-2</c:v>
                </c:pt>
                <c:pt idx="8">
                  <c:v>-8.3608781555357448E-2</c:v>
                </c:pt>
                <c:pt idx="9">
                  <c:v>-4.9759573815375213E-2</c:v>
                </c:pt>
                <c:pt idx="10">
                  <c:v>-3.1750788715323885E-2</c:v>
                </c:pt>
                <c:pt idx="11">
                  <c:v>-5.972443341004785E-2</c:v>
                </c:pt>
                <c:pt idx="12">
                  <c:v>-7.9222237135376905E-2</c:v>
                </c:pt>
                <c:pt idx="13">
                  <c:v>-4.4217844585511368E-2</c:v>
                </c:pt>
                <c:pt idx="14">
                  <c:v>-4.3698078106721661E-2</c:v>
                </c:pt>
                <c:pt idx="15">
                  <c:v>-0.15238620704539896</c:v>
                </c:pt>
                <c:pt idx="16">
                  <c:v>-8.8866440568326266E-2</c:v>
                </c:pt>
                <c:pt idx="17">
                  <c:v>-6.3337888991697233E-2</c:v>
                </c:pt>
                <c:pt idx="18">
                  <c:v>-5.2329103893071993E-2</c:v>
                </c:pt>
                <c:pt idx="19">
                  <c:v>-3.07961597672467E-2</c:v>
                </c:pt>
                <c:pt idx="20">
                  <c:v>-8.4475503601972757E-2</c:v>
                </c:pt>
                <c:pt idx="21">
                  <c:v>-4.2916204172006478E-2</c:v>
                </c:pt>
                <c:pt idx="22">
                  <c:v>-5.013433023528302E-2</c:v>
                </c:pt>
                <c:pt idx="23">
                  <c:v>-5.037881159720009E-2</c:v>
                </c:pt>
                <c:pt idx="24">
                  <c:v>-6.4845867467795026E-2</c:v>
                </c:pt>
                <c:pt idx="25">
                  <c:v>4.7193665483294289E-2</c:v>
                </c:pt>
                <c:pt idx="26">
                  <c:v>4.520684313292006E-2</c:v>
                </c:pt>
                <c:pt idx="27">
                  <c:v>5.0224413333983087E-2</c:v>
                </c:pt>
                <c:pt idx="28">
                  <c:v>-4.2930771472815321E-2</c:v>
                </c:pt>
                <c:pt idx="29">
                  <c:v>2.0078013625489721E-2</c:v>
                </c:pt>
                <c:pt idx="30">
                  <c:v>3.5580209900015092E-2</c:v>
                </c:pt>
                <c:pt idx="31">
                  <c:v>2.5082406176519467E-2</c:v>
                </c:pt>
                <c:pt idx="32">
                  <c:v>-5.1895631074560133E-2</c:v>
                </c:pt>
                <c:pt idx="33">
                  <c:v>4.6606565202322592E-2</c:v>
                </c:pt>
                <c:pt idx="34">
                  <c:v>2.1610957750878457E-2</c:v>
                </c:pt>
                <c:pt idx="35">
                  <c:v>3.1632920502971174E-2</c:v>
                </c:pt>
                <c:pt idx="36">
                  <c:v>6.1139509330359776E-2</c:v>
                </c:pt>
                <c:pt idx="37">
                  <c:v>3.4641705603604522E-2</c:v>
                </c:pt>
                <c:pt idx="38">
                  <c:v>9.964170560229485E-2</c:v>
                </c:pt>
                <c:pt idx="39">
                  <c:v>1.6143901878479083E-2</c:v>
                </c:pt>
                <c:pt idx="40">
                  <c:v>-7.1072778630890121E-2</c:v>
                </c:pt>
                <c:pt idx="41">
                  <c:v>-5.8570582356975931E-2</c:v>
                </c:pt>
                <c:pt idx="42">
                  <c:v>-3.4011282930472952E-2</c:v>
                </c:pt>
                <c:pt idx="43">
                  <c:v>-7.6071683096041731E-3</c:v>
                </c:pt>
                <c:pt idx="44">
                  <c:v>-1.0497203670864486E-4</c:v>
                </c:pt>
                <c:pt idx="45">
                  <c:v>3.79213832674615E-2</c:v>
                </c:pt>
                <c:pt idx="46">
                  <c:v>1.0467505044251396E-2</c:v>
                </c:pt>
                <c:pt idx="47">
                  <c:v>2.4281572383708316E-2</c:v>
                </c:pt>
                <c:pt idx="48">
                  <c:v>8.303535134142101E-3</c:v>
                </c:pt>
                <c:pt idx="49">
                  <c:v>1.1044248265634771E-3</c:v>
                </c:pt>
                <c:pt idx="50">
                  <c:v>-3.0002441928395823E-2</c:v>
                </c:pt>
                <c:pt idx="51">
                  <c:v>4.5556857497583314E-2</c:v>
                </c:pt>
                <c:pt idx="52">
                  <c:v>3.0085409076773567E-2</c:v>
                </c:pt>
                <c:pt idx="53">
                  <c:v>1.0898016245145525E-3</c:v>
                </c:pt>
                <c:pt idx="54">
                  <c:v>-1.0905805824281106E-2</c:v>
                </c:pt>
                <c:pt idx="55">
                  <c:v>1.0445598191798022E-2</c:v>
                </c:pt>
                <c:pt idx="56">
                  <c:v>2.6454383291441841E-2</c:v>
                </c:pt>
                <c:pt idx="57">
                  <c:v>4.0982934869467941E-2</c:v>
                </c:pt>
                <c:pt idx="58">
                  <c:v>-4.5148688538821369E-3</c:v>
                </c:pt>
                <c:pt idx="59">
                  <c:v>2.6515878995235026E-2</c:v>
                </c:pt>
                <c:pt idx="60">
                  <c:v>-0.53258575673683417</c:v>
                </c:pt>
                <c:pt idx="61">
                  <c:v>-0.55967066074456184</c:v>
                </c:pt>
                <c:pt idx="62">
                  <c:v>-0.56266626818788623</c:v>
                </c:pt>
                <c:pt idx="63">
                  <c:v>1.2333927548295893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A-4A9E-955C-AE87A065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493760"/>
        <c:axId val="1"/>
      </c:scatterChart>
      <c:valAx>
        <c:axId val="70349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49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2419354838709675"/>
          <c:y val="0.91950464396284826"/>
          <c:w val="5.4838709677419328E-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Vir - O-C Diagr.</a:t>
            </a:r>
          </a:p>
        </c:rich>
      </c:tx>
      <c:layout>
        <c:manualLayout>
          <c:xMode val="edge"/>
          <c:yMode val="edge"/>
          <c:x val="0.384491453915594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-0.22038787659039372</c:v>
                </c:pt>
                <c:pt idx="1">
                  <c:v>-0.19183673659063061</c:v>
                </c:pt>
                <c:pt idx="2">
                  <c:v>-0.18897875657057739</c:v>
                </c:pt>
                <c:pt idx="3">
                  <c:v>-0.17587647656546324</c:v>
                </c:pt>
                <c:pt idx="4">
                  <c:v>-0.16777419656136772</c:v>
                </c:pt>
                <c:pt idx="5">
                  <c:v>-0.16222305655901437</c:v>
                </c:pt>
                <c:pt idx="6">
                  <c:v>-0.20312407474557403</c:v>
                </c:pt>
                <c:pt idx="7">
                  <c:v>-0.14814101466618013</c:v>
                </c:pt>
                <c:pt idx="8">
                  <c:v>-0.18360681458580075</c:v>
                </c:pt>
                <c:pt idx="9">
                  <c:v>-0.14197555414648377</c:v>
                </c:pt>
                <c:pt idx="10">
                  <c:v>-0.12377099413788528</c:v>
                </c:pt>
                <c:pt idx="11">
                  <c:v>-0.15115731410332955</c:v>
                </c:pt>
                <c:pt idx="12">
                  <c:v>-0.17060617409879342</c:v>
                </c:pt>
                <c:pt idx="13">
                  <c:v>-0.13550389409283525</c:v>
                </c:pt>
                <c:pt idx="14">
                  <c:v>-0.1345436340670858</c:v>
                </c:pt>
                <c:pt idx="15">
                  <c:v>-0.23628175368139637</c:v>
                </c:pt>
                <c:pt idx="16">
                  <c:v>-0.17232149365372607</c:v>
                </c:pt>
                <c:pt idx="17">
                  <c:v>-0.14615667361795204</c:v>
                </c:pt>
                <c:pt idx="18">
                  <c:v>-0.13495211360714165</c:v>
                </c:pt>
                <c:pt idx="19">
                  <c:v>-0.11268501356607885</c:v>
                </c:pt>
                <c:pt idx="20">
                  <c:v>-0.15921857316425303</c:v>
                </c:pt>
                <c:pt idx="21">
                  <c:v>-0.11633779308976955</c:v>
                </c:pt>
                <c:pt idx="22">
                  <c:v>-0.10613195211044513</c:v>
                </c:pt>
                <c:pt idx="23">
                  <c:v>-8.9539791162678739E-2</c:v>
                </c:pt>
                <c:pt idx="24">
                  <c:v>-0.10327269111803616</c:v>
                </c:pt>
                <c:pt idx="25">
                  <c:v>9.647828930610558E-3</c:v>
                </c:pt>
                <c:pt idx="26">
                  <c:v>7.9546689448761754E-3</c:v>
                </c:pt>
                <c:pt idx="27">
                  <c:v>1.3363788966671564E-2</c:v>
                </c:pt>
                <c:pt idx="28">
                  <c:v>-7.2107230596884619E-2</c:v>
                </c:pt>
                <c:pt idx="29">
                  <c:v>-8.9026705900323577E-3</c:v>
                </c:pt>
                <c:pt idx="30">
                  <c:v>6.6484694143582601E-3</c:v>
                </c:pt>
                <c:pt idx="31">
                  <c:v>-3.8003905829100404E-3</c:v>
                </c:pt>
                <c:pt idx="32">
                  <c:v>-8.0288990557164652E-2</c:v>
                </c:pt>
                <c:pt idx="33">
                  <c:v>1.8262149445945397E-2</c:v>
                </c:pt>
                <c:pt idx="34">
                  <c:v>-6.6355705457681324E-3</c:v>
                </c:pt>
                <c:pt idx="35">
                  <c:v>3.8758294795115944E-3</c:v>
                </c:pt>
                <c:pt idx="36">
                  <c:v>3.3529249489220092E-2</c:v>
                </c:pt>
                <c:pt idx="37">
                  <c:v>7.0803894923301414E-3</c:v>
                </c:pt>
                <c:pt idx="38">
                  <c:v>7.2080389491020469E-2</c:v>
                </c:pt>
                <c:pt idx="39">
                  <c:v>-1.1368470506567974E-2</c:v>
                </c:pt>
                <c:pt idx="40">
                  <c:v>-9.2271410147077404E-2</c:v>
                </c:pt>
                <c:pt idx="41">
                  <c:v>-7.9720270146935945E-2</c:v>
                </c:pt>
                <c:pt idx="42">
                  <c:v>-5.383949007227784E-2</c:v>
                </c:pt>
                <c:pt idx="43">
                  <c:v>-1.8429729567287723E-2</c:v>
                </c:pt>
                <c:pt idx="44">
                  <c:v>-1.0878589564526919E-2</c:v>
                </c:pt>
                <c:pt idx="45">
                  <c:v>2.7735090468922863E-2</c:v>
                </c:pt>
                <c:pt idx="46">
                  <c:v>1.3090305292280391E-3</c:v>
                </c:pt>
                <c:pt idx="47">
                  <c:v>2.212205091927899E-2</c:v>
                </c:pt>
                <c:pt idx="48">
                  <c:v>6.6334509501757566E-3</c:v>
                </c:pt>
                <c:pt idx="49">
                  <c:v>6.1396313285513315E-3</c:v>
                </c:pt>
                <c:pt idx="50">
                  <c:v>-1.6206308180699125E-2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11-4CD4-9CB6-2B27FCAC8A9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51">
                  <c:v>6.0674471893435111E-2</c:v>
                </c:pt>
                <c:pt idx="52">
                  <c:v>4.5839291931770276E-2</c:v>
                </c:pt>
                <c:pt idx="53">
                  <c:v>1.6941571935603861E-2</c:v>
                </c:pt>
                <c:pt idx="54">
                  <c:v>5.0438519392628223E-3</c:v>
                </c:pt>
                <c:pt idx="55">
                  <c:v>3.4226252380904043E-2</c:v>
                </c:pt>
                <c:pt idx="56">
                  <c:v>5.0430812389095081E-2</c:v>
                </c:pt>
                <c:pt idx="57">
                  <c:v>6.5595632429904072E-2</c:v>
                </c:pt>
                <c:pt idx="58">
                  <c:v>2.014677243278129E-2</c:v>
                </c:pt>
                <c:pt idx="59">
                  <c:v>5.1862732467270689E-2</c:v>
                </c:pt>
                <c:pt idx="60">
                  <c:v>1.0002728311810642</c:v>
                </c:pt>
                <c:pt idx="61">
                  <c:v>0.98243829170678509</c:v>
                </c:pt>
                <c:pt idx="62">
                  <c:v>0.97954057170863962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11-4CD4-9CB6-2B27FCAC8A9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11-4CD4-9CB6-2B27FCAC8A9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63">
                  <c:v>0.9674305621520034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11-4CD4-9CB6-2B27FCAC8A9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11-4CD4-9CB6-2B27FCAC8A9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11-4CD4-9CB6-2B27FCAC8A9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11-4CD4-9CB6-2B27FCAC8A9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-0.2073447020726521</c:v>
                </c:pt>
                <c:pt idx="1">
                  <c:v>-0.20726558802865547</c:v>
                </c:pt>
                <c:pt idx="2">
                  <c:v>-0.20671178972067838</c:v>
                </c:pt>
                <c:pt idx="3">
                  <c:v>-0.2065535616326849</c:v>
                </c:pt>
                <c:pt idx="4">
                  <c:v>-0.20639533354469142</c:v>
                </c:pt>
                <c:pt idx="5">
                  <c:v>-0.20631621950069479</c:v>
                </c:pt>
                <c:pt idx="6">
                  <c:v>-0.15433829259485055</c:v>
                </c:pt>
                <c:pt idx="7">
                  <c:v>-0.15204398531894558</c:v>
                </c:pt>
                <c:pt idx="8">
                  <c:v>-0.14967056399904399</c:v>
                </c:pt>
                <c:pt idx="9">
                  <c:v>-0.13709143100356569</c:v>
                </c:pt>
                <c:pt idx="10">
                  <c:v>-0.13677497482757894</c:v>
                </c:pt>
                <c:pt idx="11">
                  <c:v>-0.13582560629961826</c:v>
                </c:pt>
                <c:pt idx="12">
                  <c:v>-0.13574649225562163</c:v>
                </c:pt>
                <c:pt idx="13">
                  <c:v>-0.13558826416762815</c:v>
                </c:pt>
                <c:pt idx="14">
                  <c:v>-0.13487623777165758</c:v>
                </c:pt>
                <c:pt idx="15">
                  <c:v>-0.12364204352412356</c:v>
                </c:pt>
                <c:pt idx="16">
                  <c:v>-0.12293001712815299</c:v>
                </c:pt>
                <c:pt idx="17">
                  <c:v>-0.12190153455619568</c:v>
                </c:pt>
                <c:pt idx="18">
                  <c:v>-0.12158507838020893</c:v>
                </c:pt>
                <c:pt idx="19">
                  <c:v>-0.12039836772025814</c:v>
                </c:pt>
                <c:pt idx="20">
                  <c:v>-0.10884771729673715</c:v>
                </c:pt>
                <c:pt idx="21">
                  <c:v>-0.10671163810882567</c:v>
                </c:pt>
                <c:pt idx="22">
                  <c:v>-7.8547038445993755E-2</c:v>
                </c:pt>
                <c:pt idx="23">
                  <c:v>-5.1331807311122524E-2</c:v>
                </c:pt>
                <c:pt idx="24">
                  <c:v>-5.0145096651171728E-2</c:v>
                </c:pt>
                <c:pt idx="25">
                  <c:v>-4.8721043859230817E-2</c:v>
                </c:pt>
                <c:pt idx="26">
                  <c:v>-4.8246359595250476E-2</c:v>
                </c:pt>
                <c:pt idx="27">
                  <c:v>-4.7613447243276763E-2</c:v>
                </c:pt>
                <c:pt idx="28">
                  <c:v>-3.5192542335791832E-2</c:v>
                </c:pt>
                <c:pt idx="29">
                  <c:v>-3.4876086159804975E-2</c:v>
                </c:pt>
                <c:pt idx="30">
                  <c:v>-3.4796972115808233E-2</c:v>
                </c:pt>
                <c:pt idx="31">
                  <c:v>-3.4717858071811603E-2</c:v>
                </c:pt>
                <c:pt idx="32">
                  <c:v>-3.3926717631844405E-2</c:v>
                </c:pt>
                <c:pt idx="33">
                  <c:v>-3.3847603587847663E-2</c:v>
                </c:pt>
                <c:pt idx="34">
                  <c:v>-3.3689375499854179E-2</c:v>
                </c:pt>
                <c:pt idx="35">
                  <c:v>-3.2898235059886982E-2</c:v>
                </c:pt>
                <c:pt idx="36">
                  <c:v>-3.2660892927896867E-2</c:v>
                </c:pt>
                <c:pt idx="37">
                  <c:v>-3.2581778883900125E-2</c:v>
                </c:pt>
                <c:pt idx="38">
                  <c:v>-3.2581778883900125E-2</c:v>
                </c:pt>
                <c:pt idx="39">
                  <c:v>-3.2502664839903384E-2</c:v>
                </c:pt>
                <c:pt idx="40">
                  <c:v>-2.2296953164326672E-2</c:v>
                </c:pt>
                <c:pt idx="41">
                  <c:v>-2.221783912032993E-2</c:v>
                </c:pt>
                <c:pt idx="42">
                  <c:v>-2.0081759932418564E-2</c:v>
                </c:pt>
                <c:pt idx="43">
                  <c:v>-5.5247758370222666E-3</c:v>
                </c:pt>
                <c:pt idx="44">
                  <c:v>-5.4456617930255247E-3</c:v>
                </c:pt>
                <c:pt idx="45">
                  <c:v>-4.4962932650649545E-3</c:v>
                </c:pt>
                <c:pt idx="46">
                  <c:v>-2.834898341133818E-3</c:v>
                </c:pt>
                <c:pt idx="47">
                  <c:v>8.4784099503969479E-3</c:v>
                </c:pt>
                <c:pt idx="48">
                  <c:v>9.2695503903641452E-3</c:v>
                </c:pt>
                <c:pt idx="49">
                  <c:v>2.010817441791457E-2</c:v>
                </c:pt>
                <c:pt idx="50">
                  <c:v>3.4269588293327269E-2</c:v>
                </c:pt>
                <c:pt idx="51">
                  <c:v>3.6405667481238746E-2</c:v>
                </c:pt>
                <c:pt idx="52">
                  <c:v>3.7434150053196058E-2</c:v>
                </c:pt>
                <c:pt idx="53">
                  <c:v>3.7592378141189431E-2</c:v>
                </c:pt>
                <c:pt idx="54">
                  <c:v>3.7750606229182915E-2</c:v>
                </c:pt>
                <c:pt idx="55">
                  <c:v>5.040885326865796E-2</c:v>
                </c:pt>
                <c:pt idx="56">
                  <c:v>5.0725309444644817E-2</c:v>
                </c:pt>
                <c:pt idx="57">
                  <c:v>5.1753792016602129E-2</c:v>
                </c:pt>
                <c:pt idx="58">
                  <c:v>5.1832906060598871E-2</c:v>
                </c:pt>
                <c:pt idx="59">
                  <c:v>5.2940502676552925E-2</c:v>
                </c:pt>
                <c:pt idx="60">
                  <c:v>0.87774396836434532</c:v>
                </c:pt>
                <c:pt idx="61">
                  <c:v>0.89269652267972521</c:v>
                </c:pt>
                <c:pt idx="62">
                  <c:v>0.8928547507677187</c:v>
                </c:pt>
                <c:pt idx="63">
                  <c:v>1.1940419162632274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11-4CD4-9CB6-2B27FCAC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493040"/>
        <c:axId val="1"/>
      </c:scatterChart>
      <c:valAx>
        <c:axId val="70349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49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1925596256989606"/>
          <c:w val="0.6752832228766234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Vir - O-C Diagr.</a:t>
            </a:r>
          </a:p>
        </c:rich>
      </c:tx>
      <c:layout>
        <c:manualLayout>
          <c:xMode val="edge"/>
          <c:yMode val="edge"/>
          <c:x val="0.3838709677419354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860681114551083"/>
          <c:w val="0.81774193548387097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-0.22038787659039372</c:v>
                </c:pt>
                <c:pt idx="1">
                  <c:v>-0.19183673659063061</c:v>
                </c:pt>
                <c:pt idx="2">
                  <c:v>-0.18897875657057739</c:v>
                </c:pt>
                <c:pt idx="3">
                  <c:v>-0.17587647656546324</c:v>
                </c:pt>
                <c:pt idx="4">
                  <c:v>-0.16777419656136772</c:v>
                </c:pt>
                <c:pt idx="5">
                  <c:v>-0.16222305655901437</c:v>
                </c:pt>
                <c:pt idx="6">
                  <c:v>-0.20312407474557403</c:v>
                </c:pt>
                <c:pt idx="7">
                  <c:v>-0.14814101466618013</c:v>
                </c:pt>
                <c:pt idx="8">
                  <c:v>-0.18360681458580075</c:v>
                </c:pt>
                <c:pt idx="9">
                  <c:v>-0.14197555414648377</c:v>
                </c:pt>
                <c:pt idx="10">
                  <c:v>-0.12377099413788528</c:v>
                </c:pt>
                <c:pt idx="11">
                  <c:v>-0.15115731410332955</c:v>
                </c:pt>
                <c:pt idx="12">
                  <c:v>-0.17060617409879342</c:v>
                </c:pt>
                <c:pt idx="13">
                  <c:v>-0.13550389409283525</c:v>
                </c:pt>
                <c:pt idx="14">
                  <c:v>-0.1345436340670858</c:v>
                </c:pt>
                <c:pt idx="15">
                  <c:v>-0.23628175368139637</c:v>
                </c:pt>
                <c:pt idx="16">
                  <c:v>-0.17232149365372607</c:v>
                </c:pt>
                <c:pt idx="17">
                  <c:v>-0.14615667361795204</c:v>
                </c:pt>
                <c:pt idx="18">
                  <c:v>-0.13495211360714165</c:v>
                </c:pt>
                <c:pt idx="19">
                  <c:v>-0.11268501356607885</c:v>
                </c:pt>
                <c:pt idx="20">
                  <c:v>-0.15921857316425303</c:v>
                </c:pt>
                <c:pt idx="21">
                  <c:v>-0.11633779308976955</c:v>
                </c:pt>
                <c:pt idx="22">
                  <c:v>-0.10613195211044513</c:v>
                </c:pt>
                <c:pt idx="23">
                  <c:v>-8.9539791162678739E-2</c:v>
                </c:pt>
                <c:pt idx="24">
                  <c:v>-0.10327269111803616</c:v>
                </c:pt>
                <c:pt idx="25">
                  <c:v>9.647828930610558E-3</c:v>
                </c:pt>
                <c:pt idx="26">
                  <c:v>7.9546689448761754E-3</c:v>
                </c:pt>
                <c:pt idx="27">
                  <c:v>1.3363788966671564E-2</c:v>
                </c:pt>
                <c:pt idx="28">
                  <c:v>-7.2107230596884619E-2</c:v>
                </c:pt>
                <c:pt idx="29">
                  <c:v>-8.9026705900323577E-3</c:v>
                </c:pt>
                <c:pt idx="30">
                  <c:v>6.6484694143582601E-3</c:v>
                </c:pt>
                <c:pt idx="31">
                  <c:v>-3.8003905829100404E-3</c:v>
                </c:pt>
                <c:pt idx="32">
                  <c:v>-8.0288990557164652E-2</c:v>
                </c:pt>
                <c:pt idx="33">
                  <c:v>1.8262149445945397E-2</c:v>
                </c:pt>
                <c:pt idx="34">
                  <c:v>-6.6355705457681324E-3</c:v>
                </c:pt>
                <c:pt idx="35">
                  <c:v>3.8758294795115944E-3</c:v>
                </c:pt>
                <c:pt idx="36">
                  <c:v>3.3529249489220092E-2</c:v>
                </c:pt>
                <c:pt idx="37">
                  <c:v>7.0803894923301414E-3</c:v>
                </c:pt>
                <c:pt idx="38">
                  <c:v>7.2080389491020469E-2</c:v>
                </c:pt>
                <c:pt idx="39">
                  <c:v>-1.1368470506567974E-2</c:v>
                </c:pt>
                <c:pt idx="40">
                  <c:v>-9.2271410147077404E-2</c:v>
                </c:pt>
                <c:pt idx="41">
                  <c:v>-7.9720270146935945E-2</c:v>
                </c:pt>
                <c:pt idx="42">
                  <c:v>-5.383949007227784E-2</c:v>
                </c:pt>
                <c:pt idx="43">
                  <c:v>-1.8429729567287723E-2</c:v>
                </c:pt>
                <c:pt idx="44">
                  <c:v>-1.0878589564526919E-2</c:v>
                </c:pt>
                <c:pt idx="45">
                  <c:v>2.7735090468922863E-2</c:v>
                </c:pt>
                <c:pt idx="46">
                  <c:v>1.3090305292280391E-3</c:v>
                </c:pt>
                <c:pt idx="47">
                  <c:v>2.212205091927899E-2</c:v>
                </c:pt>
                <c:pt idx="48">
                  <c:v>6.6334509501757566E-3</c:v>
                </c:pt>
                <c:pt idx="49">
                  <c:v>6.1396313285513315E-3</c:v>
                </c:pt>
                <c:pt idx="50">
                  <c:v>-1.6206308180699125E-2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3-47F3-AB83-D3FE9A86C6A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51">
                  <c:v>6.0674471893435111E-2</c:v>
                </c:pt>
                <c:pt idx="52">
                  <c:v>4.5839291931770276E-2</c:v>
                </c:pt>
                <c:pt idx="53">
                  <c:v>1.6941571935603861E-2</c:v>
                </c:pt>
                <c:pt idx="54">
                  <c:v>5.0438519392628223E-3</c:v>
                </c:pt>
                <c:pt idx="55">
                  <c:v>3.4226252380904043E-2</c:v>
                </c:pt>
                <c:pt idx="56">
                  <c:v>5.0430812389095081E-2</c:v>
                </c:pt>
                <c:pt idx="57">
                  <c:v>6.5595632429904072E-2</c:v>
                </c:pt>
                <c:pt idx="58">
                  <c:v>2.014677243278129E-2</c:v>
                </c:pt>
                <c:pt idx="59">
                  <c:v>5.1862732467270689E-2</c:v>
                </c:pt>
                <c:pt idx="60">
                  <c:v>1.0002728311810642</c:v>
                </c:pt>
                <c:pt idx="61">
                  <c:v>0.98243829170678509</c:v>
                </c:pt>
                <c:pt idx="62">
                  <c:v>0.97954057170863962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3-47F3-AB83-D3FE9A86C6A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13-47F3-AB83-D3FE9A86C6A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63">
                  <c:v>0.9674305621520034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13-47F3-AB83-D3FE9A86C6A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13-47F3-AB83-D3FE9A86C6A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13-47F3-AB83-D3FE9A86C6A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13-47F3-AB83-D3FE9A86C6A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-0.2073447020726521</c:v>
                </c:pt>
                <c:pt idx="1">
                  <c:v>-0.20726558802865547</c:v>
                </c:pt>
                <c:pt idx="2">
                  <c:v>-0.20671178972067838</c:v>
                </c:pt>
                <c:pt idx="3">
                  <c:v>-0.2065535616326849</c:v>
                </c:pt>
                <c:pt idx="4">
                  <c:v>-0.20639533354469142</c:v>
                </c:pt>
                <c:pt idx="5">
                  <c:v>-0.20631621950069479</c:v>
                </c:pt>
                <c:pt idx="6">
                  <c:v>-0.15433829259485055</c:v>
                </c:pt>
                <c:pt idx="7">
                  <c:v>-0.15204398531894558</c:v>
                </c:pt>
                <c:pt idx="8">
                  <c:v>-0.14967056399904399</c:v>
                </c:pt>
                <c:pt idx="9">
                  <c:v>-0.13709143100356569</c:v>
                </c:pt>
                <c:pt idx="10">
                  <c:v>-0.13677497482757894</c:v>
                </c:pt>
                <c:pt idx="11">
                  <c:v>-0.13582560629961826</c:v>
                </c:pt>
                <c:pt idx="12">
                  <c:v>-0.13574649225562163</c:v>
                </c:pt>
                <c:pt idx="13">
                  <c:v>-0.13558826416762815</c:v>
                </c:pt>
                <c:pt idx="14">
                  <c:v>-0.13487623777165758</c:v>
                </c:pt>
                <c:pt idx="15">
                  <c:v>-0.12364204352412356</c:v>
                </c:pt>
                <c:pt idx="16">
                  <c:v>-0.12293001712815299</c:v>
                </c:pt>
                <c:pt idx="17">
                  <c:v>-0.12190153455619568</c:v>
                </c:pt>
                <c:pt idx="18">
                  <c:v>-0.12158507838020893</c:v>
                </c:pt>
                <c:pt idx="19">
                  <c:v>-0.12039836772025814</c:v>
                </c:pt>
                <c:pt idx="20">
                  <c:v>-0.10884771729673715</c:v>
                </c:pt>
                <c:pt idx="21">
                  <c:v>-0.10671163810882567</c:v>
                </c:pt>
                <c:pt idx="22">
                  <c:v>-7.8547038445993755E-2</c:v>
                </c:pt>
                <c:pt idx="23">
                  <c:v>-5.1331807311122524E-2</c:v>
                </c:pt>
                <c:pt idx="24">
                  <c:v>-5.0145096651171728E-2</c:v>
                </c:pt>
                <c:pt idx="25">
                  <c:v>-4.8721043859230817E-2</c:v>
                </c:pt>
                <c:pt idx="26">
                  <c:v>-4.8246359595250476E-2</c:v>
                </c:pt>
                <c:pt idx="27">
                  <c:v>-4.7613447243276763E-2</c:v>
                </c:pt>
                <c:pt idx="28">
                  <c:v>-3.5192542335791832E-2</c:v>
                </c:pt>
                <c:pt idx="29">
                  <c:v>-3.4876086159804975E-2</c:v>
                </c:pt>
                <c:pt idx="30">
                  <c:v>-3.4796972115808233E-2</c:v>
                </c:pt>
                <c:pt idx="31">
                  <c:v>-3.4717858071811603E-2</c:v>
                </c:pt>
                <c:pt idx="32">
                  <c:v>-3.3926717631844405E-2</c:v>
                </c:pt>
                <c:pt idx="33">
                  <c:v>-3.3847603587847663E-2</c:v>
                </c:pt>
                <c:pt idx="34">
                  <c:v>-3.3689375499854179E-2</c:v>
                </c:pt>
                <c:pt idx="35">
                  <c:v>-3.2898235059886982E-2</c:v>
                </c:pt>
                <c:pt idx="36">
                  <c:v>-3.2660892927896867E-2</c:v>
                </c:pt>
                <c:pt idx="37">
                  <c:v>-3.2581778883900125E-2</c:v>
                </c:pt>
                <c:pt idx="38">
                  <c:v>-3.2581778883900125E-2</c:v>
                </c:pt>
                <c:pt idx="39">
                  <c:v>-3.2502664839903384E-2</c:v>
                </c:pt>
                <c:pt idx="40">
                  <c:v>-2.2296953164326672E-2</c:v>
                </c:pt>
                <c:pt idx="41">
                  <c:v>-2.221783912032993E-2</c:v>
                </c:pt>
                <c:pt idx="42">
                  <c:v>-2.0081759932418564E-2</c:v>
                </c:pt>
                <c:pt idx="43">
                  <c:v>-5.5247758370222666E-3</c:v>
                </c:pt>
                <c:pt idx="44">
                  <c:v>-5.4456617930255247E-3</c:v>
                </c:pt>
                <c:pt idx="45">
                  <c:v>-4.4962932650649545E-3</c:v>
                </c:pt>
                <c:pt idx="46">
                  <c:v>-2.834898341133818E-3</c:v>
                </c:pt>
                <c:pt idx="47">
                  <c:v>8.4784099503969479E-3</c:v>
                </c:pt>
                <c:pt idx="48">
                  <c:v>9.2695503903641452E-3</c:v>
                </c:pt>
                <c:pt idx="49">
                  <c:v>2.010817441791457E-2</c:v>
                </c:pt>
                <c:pt idx="50">
                  <c:v>3.4269588293327269E-2</c:v>
                </c:pt>
                <c:pt idx="51">
                  <c:v>3.6405667481238746E-2</c:v>
                </c:pt>
                <c:pt idx="52">
                  <c:v>3.7434150053196058E-2</c:v>
                </c:pt>
                <c:pt idx="53">
                  <c:v>3.7592378141189431E-2</c:v>
                </c:pt>
                <c:pt idx="54">
                  <c:v>3.7750606229182915E-2</c:v>
                </c:pt>
                <c:pt idx="55">
                  <c:v>5.040885326865796E-2</c:v>
                </c:pt>
                <c:pt idx="56">
                  <c:v>5.0725309444644817E-2</c:v>
                </c:pt>
                <c:pt idx="57">
                  <c:v>5.1753792016602129E-2</c:v>
                </c:pt>
                <c:pt idx="58">
                  <c:v>5.1832906060598871E-2</c:v>
                </c:pt>
                <c:pt idx="59">
                  <c:v>5.2940502676552925E-2</c:v>
                </c:pt>
                <c:pt idx="60">
                  <c:v>0.87774396836434532</c:v>
                </c:pt>
                <c:pt idx="61">
                  <c:v>0.89269652267972521</c:v>
                </c:pt>
                <c:pt idx="62">
                  <c:v>0.8928547507677187</c:v>
                </c:pt>
                <c:pt idx="63">
                  <c:v>1.1940419162632274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13-47F3-AB83-D3FE9A86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827592"/>
        <c:axId val="1"/>
      </c:scatterChart>
      <c:valAx>
        <c:axId val="68182759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2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2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1950464396284826"/>
          <c:w val="0.6741935483870967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17</xdr:col>
      <xdr:colOff>209550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522E312-21DF-8420-BF56-427CD934D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13BE637-5672-ACE8-216C-0A9F0EE68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17</xdr:col>
      <xdr:colOff>209550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CCB978E-1AE2-F515-032F-34286C7BA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E4016C0E-C021-B505-728E-43AF2F0AC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43" TargetMode="External"/><Relationship Id="rId2" Type="http://schemas.openxmlformats.org/officeDocument/2006/relationships/hyperlink" Target="http://www.bav-astro.de/sfs/BAVM_link.php?BAVMnr=14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4"/>
  <sheetViews>
    <sheetView tabSelected="1" workbookViewId="0">
      <pane xSplit="14" ySplit="22" topLeftCell="O7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  <c r="E1" s="47" t="s">
        <v>254</v>
      </c>
    </row>
    <row r="2" spans="1:6" x14ac:dyDescent="0.2">
      <c r="A2" t="s">
        <v>25</v>
      </c>
      <c r="B2" s="11" t="s">
        <v>29</v>
      </c>
      <c r="E2" s="47" t="s">
        <v>255</v>
      </c>
    </row>
    <row r="4" spans="1:6" x14ac:dyDescent="0.2">
      <c r="A4" s="8" t="s">
        <v>0</v>
      </c>
      <c r="C4" s="3">
        <v>30020.667000000001</v>
      </c>
      <c r="D4" s="4">
        <v>1.9950000000000001</v>
      </c>
    </row>
    <row r="5" spans="1:6" x14ac:dyDescent="0.2">
      <c r="A5" s="30" t="s">
        <v>245</v>
      </c>
      <c r="B5" s="17"/>
      <c r="C5" s="48">
        <v>-9.5</v>
      </c>
      <c r="D5" s="31" t="s">
        <v>246</v>
      </c>
      <c r="E5" s="17"/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30020.667000000001</v>
      </c>
    </row>
    <row r="8" spans="1:6" x14ac:dyDescent="0.2">
      <c r="A8" t="s">
        <v>3</v>
      </c>
      <c r="C8">
        <f>+D4</f>
        <v>1.9950000000000001</v>
      </c>
    </row>
    <row r="9" spans="1:6" x14ac:dyDescent="0.2">
      <c r="A9" s="32" t="s">
        <v>247</v>
      </c>
      <c r="B9" s="33">
        <v>45</v>
      </c>
      <c r="C9" s="34" t="str">
        <f>"F"&amp;B9</f>
        <v>F45</v>
      </c>
      <c r="D9" s="35" t="str">
        <f>"G"&amp;B9</f>
        <v>G45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34">
        <f ca="1">INTERCEPT(INDIRECT($D$9):G8996,INDIRECT($C$9):F8996)</f>
        <v>-1.1044248265634771E-3</v>
      </c>
      <c r="D11" s="6"/>
      <c r="F11">
        <v>3</v>
      </c>
    </row>
    <row r="12" spans="1:6" x14ac:dyDescent="0.2">
      <c r="A12" t="s">
        <v>17</v>
      </c>
      <c r="C12" s="34">
        <f ca="1">SLOPE(INDIRECT($D$9):G1982,INDIRECT($C$9):F1982)</f>
        <v>-5.0219627510740669E-4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</row>
    <row r="15" spans="1:6" x14ac:dyDescent="0.2">
      <c r="A15" s="5" t="s">
        <v>18</v>
      </c>
      <c r="C15" s="12">
        <f ca="1">(C7+C11)+(C8+C12)*INT(MAX(F21:F3533))</f>
        <v>59615.024307245127</v>
      </c>
      <c r="E15" s="36" t="s">
        <v>248</v>
      </c>
      <c r="F15" s="37">
        <v>1</v>
      </c>
    </row>
    <row r="16" spans="1:6" x14ac:dyDescent="0.2">
      <c r="A16" s="8" t="s">
        <v>4</v>
      </c>
      <c r="C16" s="13">
        <f ca="1">+C8+C12</f>
        <v>1.9944978037248926</v>
      </c>
      <c r="E16" s="36" t="s">
        <v>249</v>
      </c>
      <c r="F16" s="38">
        <f ca="1">NOW()+15018.5+$C$5/24</f>
        <v>60178.861944907403</v>
      </c>
    </row>
    <row r="17" spans="1:19" ht="13.5" thickBot="1" x14ac:dyDescent="0.25">
      <c r="A17" s="14" t="s">
        <v>30</v>
      </c>
      <c r="C17">
        <f>COUNT(C21:C2191)</f>
        <v>64</v>
      </c>
      <c r="E17" s="36" t="s">
        <v>250</v>
      </c>
      <c r="F17" s="38">
        <f ca="1">ROUND(2*(F16-$C$7)/$C$8,0)/2+F15</f>
        <v>15118</v>
      </c>
    </row>
    <row r="18" spans="1:19" x14ac:dyDescent="0.2">
      <c r="A18" s="8" t="s">
        <v>5</v>
      </c>
      <c r="C18" s="3">
        <f ca="1">+C15</f>
        <v>59615.024307245127</v>
      </c>
      <c r="D18" s="4">
        <f ca="1">+C16</f>
        <v>1.9944978037248926</v>
      </c>
      <c r="E18" s="36" t="s">
        <v>251</v>
      </c>
      <c r="F18" s="39">
        <f ca="1">ROUND(2*(F16-$C$15)/$C$16,0)/2+F15</f>
        <v>283.5</v>
      </c>
    </row>
    <row r="19" spans="1:19" ht="13.5" thickTop="1" x14ac:dyDescent="0.2">
      <c r="E19" s="36" t="s">
        <v>252</v>
      </c>
      <c r="F19" s="40">
        <f ca="1">+$C$15+$C$16*F18-15018.5-$C$5/24</f>
        <v>45162.360267934469</v>
      </c>
    </row>
    <row r="20" spans="1:19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39</v>
      </c>
      <c r="I20" s="10" t="s">
        <v>42</v>
      </c>
      <c r="J20" s="10" t="s">
        <v>36</v>
      </c>
      <c r="K20" s="10" t="s">
        <v>34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S20" s="46" t="s">
        <v>253</v>
      </c>
    </row>
    <row r="21" spans="1:19" x14ac:dyDescent="0.2">
      <c r="A21" t="s">
        <v>49</v>
      </c>
      <c r="B21" s="6" t="s">
        <v>243</v>
      </c>
      <c r="C21" s="15">
        <v>24286.400000000001</v>
      </c>
      <c r="D21" s="15" t="s">
        <v>42</v>
      </c>
      <c r="E21">
        <f t="shared" ref="E21:E52" si="0">+(C21-C$7)/C$8</f>
        <v>-2874.3192982456139</v>
      </c>
      <c r="F21" s="41">
        <f t="shared" ref="F21:F43" si="1">ROUND(2*E21,0)/2-0.5</f>
        <v>-2875</v>
      </c>
      <c r="G21">
        <f t="shared" ref="G21:G52" si="2">+C21-(C$7+F21*C$8)</f>
        <v>1.3580000000001746</v>
      </c>
      <c r="H21">
        <f t="shared" ref="H21:H52" si="3">+G21</f>
        <v>1.3580000000001746</v>
      </c>
      <c r="O21">
        <f t="shared" ref="O21:O52" ca="1" si="4">+C$11+C$12*$F21</f>
        <v>1.4427098661072308</v>
      </c>
      <c r="Q21" s="2">
        <f t="shared" ref="Q21:Q52" si="5">+C21-15018.5</f>
        <v>9267.9000000000015</v>
      </c>
      <c r="S21">
        <f ca="1">G21-O21</f>
        <v>-8.470986610705622E-2</v>
      </c>
    </row>
    <row r="22" spans="1:19" x14ac:dyDescent="0.2">
      <c r="A22" t="s">
        <v>49</v>
      </c>
      <c r="B22" s="6" t="s">
        <v>243</v>
      </c>
      <c r="C22" s="15">
        <v>24288.422999999999</v>
      </c>
      <c r="D22" s="15" t="s">
        <v>42</v>
      </c>
      <c r="E22">
        <f t="shared" si="0"/>
        <v>-2873.3052631578958</v>
      </c>
      <c r="F22" s="41">
        <f t="shared" si="1"/>
        <v>-2874</v>
      </c>
      <c r="G22">
        <f t="shared" si="2"/>
        <v>1.385999999998603</v>
      </c>
      <c r="H22">
        <f t="shared" si="3"/>
        <v>1.385999999998603</v>
      </c>
      <c r="O22">
        <f t="shared" ca="1" si="4"/>
        <v>1.4422076698321233</v>
      </c>
      <c r="Q22" s="2">
        <f t="shared" si="5"/>
        <v>9269.9229999999989</v>
      </c>
      <c r="S22">
        <f t="shared" ref="S22:S83" ca="1" si="6">G22-O22</f>
        <v>-5.6207669833520324E-2</v>
      </c>
    </row>
    <row r="23" spans="1:19" x14ac:dyDescent="0.2">
      <c r="A23" t="s">
        <v>49</v>
      </c>
      <c r="B23" s="6" t="s">
        <v>243</v>
      </c>
      <c r="C23" s="15">
        <v>24302.386999999999</v>
      </c>
      <c r="D23" s="15" t="s">
        <v>42</v>
      </c>
      <c r="E23">
        <f t="shared" si="0"/>
        <v>-2866.3057644110286</v>
      </c>
      <c r="F23" s="41">
        <f t="shared" si="1"/>
        <v>-2867</v>
      </c>
      <c r="G23">
        <f t="shared" si="2"/>
        <v>1.3849999999983993</v>
      </c>
      <c r="H23">
        <f t="shared" si="3"/>
        <v>1.3849999999983993</v>
      </c>
      <c r="O23">
        <f t="shared" ca="1" si="4"/>
        <v>1.4386922959063715</v>
      </c>
      <c r="Q23" s="2">
        <f t="shared" si="5"/>
        <v>9283.8869999999988</v>
      </c>
      <c r="S23">
        <f t="shared" ca="1" si="6"/>
        <v>-5.3692295907972198E-2</v>
      </c>
    </row>
    <row r="24" spans="1:19" x14ac:dyDescent="0.2">
      <c r="A24" t="s">
        <v>49</v>
      </c>
      <c r="B24" s="6" t="s">
        <v>243</v>
      </c>
      <c r="C24" s="15">
        <v>24306.388999999999</v>
      </c>
      <c r="D24" s="15" t="s">
        <v>42</v>
      </c>
      <c r="E24">
        <f t="shared" si="0"/>
        <v>-2864.2997493734347</v>
      </c>
      <c r="F24" s="41">
        <f t="shared" si="1"/>
        <v>-2865</v>
      </c>
      <c r="G24">
        <f t="shared" si="2"/>
        <v>1.396999999997206</v>
      </c>
      <c r="H24">
        <f t="shared" si="3"/>
        <v>1.396999999997206</v>
      </c>
      <c r="O24">
        <f t="shared" ca="1" si="4"/>
        <v>1.4376879033561567</v>
      </c>
      <c r="Q24" s="2">
        <f t="shared" si="5"/>
        <v>9287.8889999999992</v>
      </c>
      <c r="S24">
        <f t="shared" ca="1" si="6"/>
        <v>-4.0687903358950672E-2</v>
      </c>
    </row>
    <row r="25" spans="1:19" x14ac:dyDescent="0.2">
      <c r="A25" t="s">
        <v>49</v>
      </c>
      <c r="B25" s="6" t="s">
        <v>243</v>
      </c>
      <c r="C25" s="15">
        <v>24310.385999999999</v>
      </c>
      <c r="D25" s="15" t="s">
        <v>42</v>
      </c>
      <c r="E25">
        <f t="shared" si="0"/>
        <v>-2862.2962406015049</v>
      </c>
      <c r="F25" s="41">
        <f t="shared" si="1"/>
        <v>-2863</v>
      </c>
      <c r="G25">
        <f t="shared" si="2"/>
        <v>1.4039999999986321</v>
      </c>
      <c r="H25">
        <f t="shared" si="3"/>
        <v>1.4039999999986321</v>
      </c>
      <c r="O25">
        <f t="shared" ca="1" si="4"/>
        <v>1.4366835108059419</v>
      </c>
      <c r="Q25" s="2">
        <f t="shared" si="5"/>
        <v>9291.8859999999986</v>
      </c>
      <c r="S25">
        <f t="shared" ca="1" si="6"/>
        <v>-3.2683510807309801E-2</v>
      </c>
    </row>
    <row r="26" spans="1:19" x14ac:dyDescent="0.2">
      <c r="A26" t="s">
        <v>49</v>
      </c>
      <c r="B26" s="6" t="s">
        <v>243</v>
      </c>
      <c r="C26" s="15">
        <v>24312.385999999999</v>
      </c>
      <c r="D26" s="15" t="s">
        <v>42</v>
      </c>
      <c r="E26">
        <f t="shared" si="0"/>
        <v>-2861.2937343358408</v>
      </c>
      <c r="F26" s="41">
        <f t="shared" si="1"/>
        <v>-2862</v>
      </c>
      <c r="G26">
        <f t="shared" si="2"/>
        <v>1.4089999999996508</v>
      </c>
      <c r="H26">
        <f t="shared" si="3"/>
        <v>1.4089999999996508</v>
      </c>
      <c r="O26">
        <f t="shared" ca="1" si="4"/>
        <v>1.4361813145308344</v>
      </c>
      <c r="Q26" s="2">
        <f t="shared" si="5"/>
        <v>9293.8859999999986</v>
      </c>
      <c r="S26">
        <f t="shared" ca="1" si="6"/>
        <v>-2.7181314531183665E-2</v>
      </c>
    </row>
    <row r="27" spans="1:19" x14ac:dyDescent="0.2">
      <c r="A27" t="s">
        <v>70</v>
      </c>
      <c r="B27" s="6" t="s">
        <v>243</v>
      </c>
      <c r="C27" s="15">
        <v>25622.698</v>
      </c>
      <c r="D27" s="15" t="s">
        <v>42</v>
      </c>
      <c r="E27">
        <f t="shared" si="0"/>
        <v>-2204.4957393483714</v>
      </c>
      <c r="F27" s="41">
        <f t="shared" si="1"/>
        <v>-2205</v>
      </c>
      <c r="G27">
        <f t="shared" si="2"/>
        <v>1.0059999999975844</v>
      </c>
      <c r="H27">
        <f t="shared" si="3"/>
        <v>1.0059999999975844</v>
      </c>
      <c r="O27">
        <f t="shared" ca="1" si="4"/>
        <v>1.1062383617852682</v>
      </c>
      <c r="Q27" s="2">
        <f t="shared" si="5"/>
        <v>10604.198</v>
      </c>
      <c r="S27">
        <f t="shared" ca="1" si="6"/>
        <v>-0.10023836178768386</v>
      </c>
    </row>
    <row r="28" spans="1:19" x14ac:dyDescent="0.2">
      <c r="A28" t="s">
        <v>75</v>
      </c>
      <c r="B28" s="6" t="s">
        <v>243</v>
      </c>
      <c r="C28" s="15">
        <v>25680.592000000001</v>
      </c>
      <c r="D28" s="15" t="s">
        <v>42</v>
      </c>
      <c r="E28">
        <f t="shared" si="0"/>
        <v>-2175.4761904761908</v>
      </c>
      <c r="F28" s="41">
        <f t="shared" si="1"/>
        <v>-2176</v>
      </c>
      <c r="G28">
        <f t="shared" si="2"/>
        <v>1.0449999999982538</v>
      </c>
      <c r="H28">
        <f t="shared" si="3"/>
        <v>1.0449999999982538</v>
      </c>
      <c r="O28">
        <f t="shared" ca="1" si="4"/>
        <v>1.0916746698071536</v>
      </c>
      <c r="Q28" s="2">
        <f t="shared" si="5"/>
        <v>10662.092000000001</v>
      </c>
      <c r="S28">
        <f t="shared" ca="1" si="6"/>
        <v>-4.6674669808899782E-2</v>
      </c>
    </row>
    <row r="29" spans="1:19" x14ac:dyDescent="0.2">
      <c r="A29" t="s">
        <v>75</v>
      </c>
      <c r="B29" s="6" t="s">
        <v>243</v>
      </c>
      <c r="C29" s="15">
        <v>25740.39</v>
      </c>
      <c r="D29" s="15" t="s">
        <v>42</v>
      </c>
      <c r="E29">
        <f t="shared" si="0"/>
        <v>-2145.5022556390986</v>
      </c>
      <c r="F29" s="41">
        <f t="shared" si="1"/>
        <v>-2146</v>
      </c>
      <c r="G29">
        <f t="shared" si="2"/>
        <v>0.99299999999857391</v>
      </c>
      <c r="H29">
        <f t="shared" si="3"/>
        <v>0.99299999999857391</v>
      </c>
      <c r="O29">
        <f t="shared" ca="1" si="4"/>
        <v>1.0766087815539314</v>
      </c>
      <c r="Q29" s="2">
        <f t="shared" si="5"/>
        <v>10721.89</v>
      </c>
      <c r="S29">
        <f t="shared" ca="1" si="6"/>
        <v>-8.3608781555357448E-2</v>
      </c>
    </row>
    <row r="30" spans="1:19" x14ac:dyDescent="0.2">
      <c r="A30" t="s">
        <v>75</v>
      </c>
      <c r="B30" s="6" t="s">
        <v>243</v>
      </c>
      <c r="C30" s="15">
        <v>26057.548999999999</v>
      </c>
      <c r="D30" s="15" t="s">
        <v>42</v>
      </c>
      <c r="E30">
        <f t="shared" si="0"/>
        <v>-1986.525313283209</v>
      </c>
      <c r="F30" s="41">
        <f t="shared" si="1"/>
        <v>-1987</v>
      </c>
      <c r="G30">
        <f t="shared" si="2"/>
        <v>0.94699999999647844</v>
      </c>
      <c r="H30">
        <f t="shared" si="3"/>
        <v>0.94699999999647844</v>
      </c>
      <c r="O30">
        <f t="shared" ca="1" si="4"/>
        <v>0.99675957381185365</v>
      </c>
      <c r="Q30" s="2">
        <f t="shared" si="5"/>
        <v>11039.048999999999</v>
      </c>
      <c r="S30">
        <f t="shared" ca="1" si="6"/>
        <v>-4.9759573815375213E-2</v>
      </c>
    </row>
    <row r="31" spans="1:19" x14ac:dyDescent="0.2">
      <c r="A31" t="s">
        <v>70</v>
      </c>
      <c r="B31" s="6" t="s">
        <v>243</v>
      </c>
      <c r="C31" s="15">
        <v>26065.544999999998</v>
      </c>
      <c r="D31" s="15" t="s">
        <v>42</v>
      </c>
      <c r="E31">
        <f t="shared" si="0"/>
        <v>-1982.517293233084</v>
      </c>
      <c r="F31" s="41">
        <f t="shared" si="1"/>
        <v>-1983</v>
      </c>
      <c r="G31">
        <f t="shared" si="2"/>
        <v>0.96299999999610009</v>
      </c>
      <c r="H31">
        <f t="shared" si="3"/>
        <v>0.96299999999610009</v>
      </c>
      <c r="O31">
        <f t="shared" ca="1" si="4"/>
        <v>0.99475078871142397</v>
      </c>
      <c r="Q31" s="2">
        <f t="shared" si="5"/>
        <v>11047.044999999998</v>
      </c>
      <c r="S31">
        <f t="shared" ca="1" si="6"/>
        <v>-3.1750788715323885E-2</v>
      </c>
    </row>
    <row r="32" spans="1:19" x14ac:dyDescent="0.2">
      <c r="A32" t="s">
        <v>75</v>
      </c>
      <c r="B32" s="6" t="s">
        <v>243</v>
      </c>
      <c r="C32" s="15">
        <v>26089.451000000001</v>
      </c>
      <c r="D32" s="15" t="s">
        <v>42</v>
      </c>
      <c r="E32">
        <f t="shared" si="0"/>
        <v>-1970.5343358395992</v>
      </c>
      <c r="F32" s="41">
        <f t="shared" si="1"/>
        <v>-1971</v>
      </c>
      <c r="G32">
        <f t="shared" si="2"/>
        <v>0.92900000000008731</v>
      </c>
      <c r="H32">
        <f t="shared" si="3"/>
        <v>0.92900000000008731</v>
      </c>
      <c r="O32">
        <f t="shared" ca="1" si="4"/>
        <v>0.98872443341013516</v>
      </c>
      <c r="Q32" s="2">
        <f t="shared" si="5"/>
        <v>11070.951000000001</v>
      </c>
      <c r="S32">
        <f t="shared" ca="1" si="6"/>
        <v>-5.972443341004785E-2</v>
      </c>
    </row>
    <row r="33" spans="1:19" x14ac:dyDescent="0.2">
      <c r="A33" t="s">
        <v>75</v>
      </c>
      <c r="B33" s="6" t="s">
        <v>243</v>
      </c>
      <c r="C33" s="15">
        <v>26091.425999999999</v>
      </c>
      <c r="D33" s="15" t="s">
        <v>42</v>
      </c>
      <c r="E33">
        <f t="shared" si="0"/>
        <v>-1969.5443609022564</v>
      </c>
      <c r="F33" s="41">
        <f t="shared" si="1"/>
        <v>-1970</v>
      </c>
      <c r="G33">
        <f t="shared" si="2"/>
        <v>0.90899999999965075</v>
      </c>
      <c r="H33">
        <f t="shared" si="3"/>
        <v>0.90899999999965075</v>
      </c>
      <c r="O33">
        <f t="shared" ca="1" si="4"/>
        <v>0.98822223713502766</v>
      </c>
      <c r="Q33" s="2">
        <f t="shared" si="5"/>
        <v>11072.925999999999</v>
      </c>
      <c r="S33">
        <f t="shared" ca="1" si="6"/>
        <v>-7.9222237135376905E-2</v>
      </c>
    </row>
    <row r="34" spans="1:19" x14ac:dyDescent="0.2">
      <c r="A34" t="s">
        <v>70</v>
      </c>
      <c r="B34" s="6" t="s">
        <v>243</v>
      </c>
      <c r="C34" s="15">
        <v>26095.45</v>
      </c>
      <c r="D34" s="15" t="s">
        <v>42</v>
      </c>
      <c r="E34">
        <f t="shared" si="0"/>
        <v>-1967.5273182957396</v>
      </c>
      <c r="F34" s="41">
        <f t="shared" si="1"/>
        <v>-1968</v>
      </c>
      <c r="G34">
        <f t="shared" si="2"/>
        <v>0.94299999999930151</v>
      </c>
      <c r="H34">
        <f t="shared" si="3"/>
        <v>0.94299999999930151</v>
      </c>
      <c r="O34">
        <f t="shared" ca="1" si="4"/>
        <v>0.98721784458481288</v>
      </c>
      <c r="Q34" s="2">
        <f t="shared" si="5"/>
        <v>11076.95</v>
      </c>
      <c r="S34">
        <f t="shared" ca="1" si="6"/>
        <v>-4.4217844585511368E-2</v>
      </c>
    </row>
    <row r="35" spans="1:19" x14ac:dyDescent="0.2">
      <c r="A35" t="s">
        <v>70</v>
      </c>
      <c r="B35" s="6" t="s">
        <v>243</v>
      </c>
      <c r="C35" s="15">
        <v>26113.401000000002</v>
      </c>
      <c r="D35" s="15" t="s">
        <v>42</v>
      </c>
      <c r="E35">
        <f t="shared" si="0"/>
        <v>-1958.5293233082705</v>
      </c>
      <c r="F35" s="41">
        <f t="shared" si="1"/>
        <v>-1959</v>
      </c>
      <c r="G35">
        <f t="shared" si="2"/>
        <v>0.93900000000212458</v>
      </c>
      <c r="H35">
        <f t="shared" si="3"/>
        <v>0.93900000000212458</v>
      </c>
      <c r="O35">
        <f t="shared" ca="1" si="4"/>
        <v>0.98269807810884624</v>
      </c>
      <c r="Q35" s="2">
        <f t="shared" si="5"/>
        <v>11094.901000000002</v>
      </c>
      <c r="S35">
        <f t="shared" ca="1" si="6"/>
        <v>-4.3698078106721661E-2</v>
      </c>
    </row>
    <row r="36" spans="1:19" x14ac:dyDescent="0.2">
      <c r="A36" t="s">
        <v>75</v>
      </c>
      <c r="B36" s="6" t="s">
        <v>243</v>
      </c>
      <c r="C36" s="15">
        <v>26396.510999999999</v>
      </c>
      <c r="D36" s="15" t="s">
        <v>42</v>
      </c>
      <c r="E36">
        <f t="shared" si="0"/>
        <v>-1816.6195488721817</v>
      </c>
      <c r="F36" s="41">
        <f t="shared" si="1"/>
        <v>-1817</v>
      </c>
      <c r="G36">
        <f t="shared" si="2"/>
        <v>0.75899999999819556</v>
      </c>
      <c r="H36">
        <f t="shared" si="3"/>
        <v>0.75899999999819556</v>
      </c>
      <c r="O36">
        <f t="shared" ca="1" si="4"/>
        <v>0.91138620704359452</v>
      </c>
      <c r="Q36" s="2">
        <f t="shared" si="5"/>
        <v>11378.010999999999</v>
      </c>
      <c r="S36">
        <f t="shared" ca="1" si="6"/>
        <v>-0.15238620704539896</v>
      </c>
    </row>
    <row r="37" spans="1:19" x14ac:dyDescent="0.2">
      <c r="A37" t="s">
        <v>75</v>
      </c>
      <c r="B37" s="6" t="s">
        <v>243</v>
      </c>
      <c r="C37" s="15">
        <v>26414.525000000001</v>
      </c>
      <c r="D37" s="15" t="s">
        <v>42</v>
      </c>
      <c r="E37">
        <f t="shared" si="0"/>
        <v>-1807.5899749373432</v>
      </c>
      <c r="F37" s="41">
        <f t="shared" si="1"/>
        <v>-1808</v>
      </c>
      <c r="G37">
        <f t="shared" si="2"/>
        <v>0.81799999999930151</v>
      </c>
      <c r="H37">
        <f t="shared" si="3"/>
        <v>0.81799999999930151</v>
      </c>
      <c r="O37">
        <f t="shared" ca="1" si="4"/>
        <v>0.90686644056762777</v>
      </c>
      <c r="Q37" s="2">
        <f t="shared" si="5"/>
        <v>11396.025000000001</v>
      </c>
      <c r="S37">
        <f t="shared" ca="1" si="6"/>
        <v>-8.8866440568326266E-2</v>
      </c>
    </row>
    <row r="38" spans="1:19" x14ac:dyDescent="0.2">
      <c r="A38" t="s">
        <v>75</v>
      </c>
      <c r="B38" s="6" t="s">
        <v>243</v>
      </c>
      <c r="C38" s="15">
        <v>26440.478999999999</v>
      </c>
      <c r="D38" s="15" t="s">
        <v>42</v>
      </c>
      <c r="E38">
        <f t="shared" si="0"/>
        <v>-1794.5804511278204</v>
      </c>
      <c r="F38" s="41">
        <f t="shared" si="1"/>
        <v>-1795</v>
      </c>
      <c r="G38">
        <f t="shared" si="2"/>
        <v>0.83699999999953434</v>
      </c>
      <c r="H38">
        <f t="shared" si="3"/>
        <v>0.83699999999953434</v>
      </c>
      <c r="O38">
        <f t="shared" ca="1" si="4"/>
        <v>0.90033788899123157</v>
      </c>
      <c r="Q38" s="2">
        <f t="shared" si="5"/>
        <v>11421.978999999999</v>
      </c>
      <c r="S38">
        <f t="shared" ca="1" si="6"/>
        <v>-6.3337888991697233E-2</v>
      </c>
    </row>
    <row r="39" spans="1:19" x14ac:dyDescent="0.2">
      <c r="A39" t="s">
        <v>75</v>
      </c>
      <c r="B39" s="6" t="s">
        <v>243</v>
      </c>
      <c r="C39" s="15">
        <v>26448.468000000001</v>
      </c>
      <c r="D39" s="15" t="s">
        <v>42</v>
      </c>
      <c r="E39">
        <f t="shared" si="0"/>
        <v>-1790.5759398496243</v>
      </c>
      <c r="F39" s="41">
        <f t="shared" si="1"/>
        <v>-1791</v>
      </c>
      <c r="G39">
        <f t="shared" si="2"/>
        <v>0.8459999999977299</v>
      </c>
      <c r="H39">
        <f t="shared" si="3"/>
        <v>0.8459999999977299</v>
      </c>
      <c r="O39">
        <f t="shared" ca="1" si="4"/>
        <v>0.89832910389080189</v>
      </c>
      <c r="Q39" s="2">
        <f t="shared" si="5"/>
        <v>11429.968000000001</v>
      </c>
      <c r="S39">
        <f t="shared" ca="1" si="6"/>
        <v>-5.2329103893071993E-2</v>
      </c>
    </row>
    <row r="40" spans="1:19" x14ac:dyDescent="0.2">
      <c r="A40" t="s">
        <v>70</v>
      </c>
      <c r="B40" s="6" t="s">
        <v>243</v>
      </c>
      <c r="C40" s="15">
        <v>26478.406999999999</v>
      </c>
      <c r="D40" s="15" t="s">
        <v>42</v>
      </c>
      <c r="E40">
        <f t="shared" si="0"/>
        <v>-1775.5689223057652</v>
      </c>
      <c r="F40" s="41">
        <f t="shared" si="1"/>
        <v>-1776</v>
      </c>
      <c r="G40">
        <f t="shared" si="2"/>
        <v>0.8599999999969441</v>
      </c>
      <c r="H40">
        <f t="shared" si="3"/>
        <v>0.8599999999969441</v>
      </c>
      <c r="O40">
        <f t="shared" ca="1" si="4"/>
        <v>0.8907961597641908</v>
      </c>
      <c r="Q40" s="2">
        <f t="shared" si="5"/>
        <v>11459.906999999999</v>
      </c>
      <c r="S40">
        <f t="shared" ca="1" si="6"/>
        <v>-3.07961597672467E-2</v>
      </c>
    </row>
    <row r="41" spans="1:19" x14ac:dyDescent="0.2">
      <c r="A41" t="s">
        <v>75</v>
      </c>
      <c r="B41" s="6" t="s">
        <v>243</v>
      </c>
      <c r="C41" s="15">
        <v>26769.55</v>
      </c>
      <c r="D41" s="15" t="s">
        <v>42</v>
      </c>
      <c r="E41">
        <f t="shared" si="0"/>
        <v>-1629.6325814536351</v>
      </c>
      <c r="F41" s="41">
        <f t="shared" si="1"/>
        <v>-1630</v>
      </c>
      <c r="G41">
        <f t="shared" si="2"/>
        <v>0.73299999999653664</v>
      </c>
      <c r="H41">
        <f t="shared" si="3"/>
        <v>0.73299999999653664</v>
      </c>
      <c r="O41">
        <f t="shared" ca="1" si="4"/>
        <v>0.8174755035985094</v>
      </c>
      <c r="Q41" s="2">
        <f t="shared" si="5"/>
        <v>11751.05</v>
      </c>
      <c r="S41">
        <f t="shared" ca="1" si="6"/>
        <v>-8.4475503601972757E-2</v>
      </c>
    </row>
    <row r="42" spans="1:19" x14ac:dyDescent="0.2">
      <c r="A42" t="s">
        <v>75</v>
      </c>
      <c r="B42" s="6" t="s">
        <v>243</v>
      </c>
      <c r="C42" s="15">
        <v>26823.442999999999</v>
      </c>
      <c r="D42" s="15" t="s">
        <v>42</v>
      </c>
      <c r="E42">
        <f t="shared" si="0"/>
        <v>-1602.6185463659158</v>
      </c>
      <c r="F42" s="41">
        <f t="shared" si="1"/>
        <v>-1603</v>
      </c>
      <c r="G42">
        <f t="shared" si="2"/>
        <v>0.76099999999860302</v>
      </c>
      <c r="H42">
        <f t="shared" si="3"/>
        <v>0.76099999999860302</v>
      </c>
      <c r="O42">
        <f t="shared" ca="1" si="4"/>
        <v>0.80391620417060949</v>
      </c>
      <c r="Q42" s="2">
        <f t="shared" si="5"/>
        <v>11804.942999999999</v>
      </c>
      <c r="S42">
        <f t="shared" ca="1" si="6"/>
        <v>-4.2916204172006478E-2</v>
      </c>
    </row>
    <row r="43" spans="1:19" x14ac:dyDescent="0.2">
      <c r="A43" t="s">
        <v>75</v>
      </c>
      <c r="B43" s="6" t="s">
        <v>243</v>
      </c>
      <c r="C43" s="15">
        <v>27533.476999999999</v>
      </c>
      <c r="D43" s="15" t="s">
        <v>42</v>
      </c>
      <c r="E43">
        <f t="shared" si="0"/>
        <v>-1246.7117794486226</v>
      </c>
      <c r="F43" s="41">
        <f t="shared" si="1"/>
        <v>-1247</v>
      </c>
      <c r="G43">
        <f t="shared" si="2"/>
        <v>0.57499999999708962</v>
      </c>
      <c r="H43">
        <f t="shared" si="3"/>
        <v>0.57499999999708962</v>
      </c>
      <c r="O43">
        <f t="shared" ca="1" si="4"/>
        <v>0.62513433023237264</v>
      </c>
      <c r="Q43" s="2">
        <f t="shared" si="5"/>
        <v>12514.976999999999</v>
      </c>
      <c r="S43">
        <f t="shared" ca="1" si="6"/>
        <v>-5.013433023528302E-2</v>
      </c>
    </row>
    <row r="44" spans="1:19" x14ac:dyDescent="0.2">
      <c r="A44" t="s">
        <v>75</v>
      </c>
      <c r="B44" s="6" t="s">
        <v>243</v>
      </c>
      <c r="C44" s="15">
        <v>28219.583999999999</v>
      </c>
      <c r="D44" s="15" t="s">
        <v>42</v>
      </c>
      <c r="E44">
        <f t="shared" si="0"/>
        <v>-902.79849624060262</v>
      </c>
      <c r="F44">
        <f t="shared" ref="F44:F80" si="7">ROUND(2*E44,0)/2</f>
        <v>-903</v>
      </c>
      <c r="G44">
        <f t="shared" si="2"/>
        <v>0.40199999999822467</v>
      </c>
      <c r="H44">
        <f t="shared" si="3"/>
        <v>0.40199999999822467</v>
      </c>
      <c r="O44">
        <f t="shared" ca="1" si="4"/>
        <v>0.45237881159542476</v>
      </c>
      <c r="Q44" s="2">
        <f t="shared" si="5"/>
        <v>13201.083999999999</v>
      </c>
      <c r="S44">
        <f t="shared" ca="1" si="6"/>
        <v>-5.037881159720009E-2</v>
      </c>
    </row>
    <row r="45" spans="1:19" x14ac:dyDescent="0.2">
      <c r="A45" t="s">
        <v>75</v>
      </c>
      <c r="B45" s="6" t="s">
        <v>243</v>
      </c>
      <c r="C45" s="15">
        <v>28249.487000000001</v>
      </c>
      <c r="D45" s="15" t="s">
        <v>42</v>
      </c>
      <c r="E45">
        <f t="shared" si="0"/>
        <v>-887.80952380952385</v>
      </c>
      <c r="F45">
        <f t="shared" si="7"/>
        <v>-888</v>
      </c>
      <c r="G45">
        <f t="shared" si="2"/>
        <v>0.38000000000101863</v>
      </c>
      <c r="H45">
        <f t="shared" si="3"/>
        <v>0.38000000000101863</v>
      </c>
      <c r="O45">
        <f t="shared" ca="1" si="4"/>
        <v>0.44484586746881366</v>
      </c>
      <c r="Q45" s="2">
        <f t="shared" si="5"/>
        <v>13230.987000000001</v>
      </c>
      <c r="S45">
        <f t="shared" ca="1" si="6"/>
        <v>-6.4845867467795026E-2</v>
      </c>
    </row>
    <row r="46" spans="1:19" x14ac:dyDescent="0.2">
      <c r="A46" t="s">
        <v>128</v>
      </c>
      <c r="B46" s="6" t="s">
        <v>243</v>
      </c>
      <c r="C46" s="15">
        <v>28285.5</v>
      </c>
      <c r="D46" s="15" t="s">
        <v>42</v>
      </c>
      <c r="E46">
        <f t="shared" si="0"/>
        <v>-869.75789473684267</v>
      </c>
      <c r="F46">
        <f t="shared" si="7"/>
        <v>-870</v>
      </c>
      <c r="G46">
        <f t="shared" si="2"/>
        <v>0.48300000000017462</v>
      </c>
      <c r="H46">
        <f t="shared" si="3"/>
        <v>0.48300000000017462</v>
      </c>
      <c r="O46">
        <f t="shared" ca="1" si="4"/>
        <v>0.43580633451688033</v>
      </c>
      <c r="Q46" s="2">
        <f t="shared" si="5"/>
        <v>13267</v>
      </c>
      <c r="S46">
        <f t="shared" ca="1" si="6"/>
        <v>4.7193665483294289E-2</v>
      </c>
    </row>
    <row r="47" spans="1:19" x14ac:dyDescent="0.2">
      <c r="A47" t="s">
        <v>128</v>
      </c>
      <c r="B47" s="6" t="s">
        <v>243</v>
      </c>
      <c r="C47" s="15">
        <v>28297.465</v>
      </c>
      <c r="D47" s="15" t="s">
        <v>42</v>
      </c>
      <c r="E47">
        <f t="shared" si="0"/>
        <v>-863.7604010025068</v>
      </c>
      <c r="F47">
        <f t="shared" si="7"/>
        <v>-864</v>
      </c>
      <c r="G47">
        <f t="shared" si="2"/>
        <v>0.47799999999915599</v>
      </c>
      <c r="H47">
        <f t="shared" si="3"/>
        <v>0.47799999999915599</v>
      </c>
      <c r="O47">
        <f t="shared" ca="1" si="4"/>
        <v>0.43279315686623593</v>
      </c>
      <c r="Q47" s="2">
        <f t="shared" si="5"/>
        <v>13278.965</v>
      </c>
      <c r="S47">
        <f t="shared" ca="1" si="6"/>
        <v>4.520684313292006E-2</v>
      </c>
    </row>
    <row r="48" spans="1:19" x14ac:dyDescent="0.2">
      <c r="A48" t="s">
        <v>128</v>
      </c>
      <c r="B48" s="6" t="s">
        <v>243</v>
      </c>
      <c r="C48" s="15">
        <v>28313.425999999999</v>
      </c>
      <c r="D48" s="15" t="s">
        <v>42</v>
      </c>
      <c r="E48">
        <f t="shared" si="0"/>
        <v>-855.75989974937431</v>
      </c>
      <c r="F48">
        <f t="shared" si="7"/>
        <v>-856</v>
      </c>
      <c r="G48">
        <f t="shared" si="2"/>
        <v>0.47899999999935972</v>
      </c>
      <c r="H48">
        <f t="shared" si="3"/>
        <v>0.47899999999935972</v>
      </c>
      <c r="O48">
        <f t="shared" ca="1" si="4"/>
        <v>0.42877558666537663</v>
      </c>
      <c r="Q48" s="2">
        <f t="shared" si="5"/>
        <v>13294.925999999999</v>
      </c>
      <c r="S48">
        <f t="shared" ca="1" si="6"/>
        <v>5.0224413333983087E-2</v>
      </c>
    </row>
    <row r="49" spans="1:19" x14ac:dyDescent="0.2">
      <c r="A49" t="s">
        <v>75</v>
      </c>
      <c r="B49" s="6" t="s">
        <v>243</v>
      </c>
      <c r="C49" s="15">
        <v>28626.469000000001</v>
      </c>
      <c r="D49" s="15" t="s">
        <v>42</v>
      </c>
      <c r="E49">
        <f t="shared" si="0"/>
        <v>-698.84611528822063</v>
      </c>
      <c r="F49">
        <f t="shared" si="7"/>
        <v>-699</v>
      </c>
      <c r="G49">
        <f t="shared" si="2"/>
        <v>0.30700000000069849</v>
      </c>
      <c r="H49">
        <f t="shared" si="3"/>
        <v>0.30700000000069849</v>
      </c>
      <c r="O49">
        <f t="shared" ca="1" si="4"/>
        <v>0.34993077147351381</v>
      </c>
      <c r="Q49" s="2">
        <f t="shared" si="5"/>
        <v>13607.969000000001</v>
      </c>
      <c r="S49">
        <f t="shared" ca="1" si="6"/>
        <v>-4.2930771472815321E-2</v>
      </c>
    </row>
    <row r="50" spans="1:19" x14ac:dyDescent="0.2">
      <c r="A50" t="s">
        <v>128</v>
      </c>
      <c r="B50" s="6" t="s">
        <v>243</v>
      </c>
      <c r="C50" s="15">
        <v>28634.51</v>
      </c>
      <c r="D50" s="15" t="s">
        <v>42</v>
      </c>
      <c r="E50">
        <f t="shared" si="0"/>
        <v>-694.81553884711923</v>
      </c>
      <c r="F50">
        <f t="shared" si="7"/>
        <v>-695</v>
      </c>
      <c r="G50">
        <f t="shared" si="2"/>
        <v>0.36799999999857391</v>
      </c>
      <c r="H50">
        <f t="shared" si="3"/>
        <v>0.36799999999857391</v>
      </c>
      <c r="O50">
        <f t="shared" ca="1" si="4"/>
        <v>0.34792198637308419</v>
      </c>
      <c r="Q50" s="2">
        <f t="shared" si="5"/>
        <v>13616.009999999998</v>
      </c>
      <c r="S50">
        <f t="shared" ca="1" si="6"/>
        <v>2.0078013625489721E-2</v>
      </c>
    </row>
    <row r="51" spans="1:19" x14ac:dyDescent="0.2">
      <c r="A51" t="s">
        <v>128</v>
      </c>
      <c r="B51" s="6" t="s">
        <v>243</v>
      </c>
      <c r="C51" s="15">
        <v>28636.52</v>
      </c>
      <c r="D51" s="15" t="s">
        <v>42</v>
      </c>
      <c r="E51">
        <f t="shared" si="0"/>
        <v>-693.80802005012572</v>
      </c>
      <c r="F51">
        <f t="shared" si="7"/>
        <v>-694</v>
      </c>
      <c r="G51">
        <f t="shared" si="2"/>
        <v>0.38299999999799184</v>
      </c>
      <c r="H51">
        <f t="shared" si="3"/>
        <v>0.38299999999799184</v>
      </c>
      <c r="O51">
        <f t="shared" ca="1" si="4"/>
        <v>0.34741979009797674</v>
      </c>
      <c r="Q51" s="2">
        <f t="shared" si="5"/>
        <v>13618.02</v>
      </c>
      <c r="S51">
        <f t="shared" ca="1" si="6"/>
        <v>3.5580209900015092E-2</v>
      </c>
    </row>
    <row r="52" spans="1:19" x14ac:dyDescent="0.2">
      <c r="A52" t="s">
        <v>128</v>
      </c>
      <c r="B52" s="6" t="s">
        <v>243</v>
      </c>
      <c r="C52" s="15">
        <v>28638.504000000001</v>
      </c>
      <c r="D52" s="15" t="s">
        <v>42</v>
      </c>
      <c r="E52">
        <f t="shared" si="0"/>
        <v>-692.81353383458668</v>
      </c>
      <c r="F52">
        <f t="shared" si="7"/>
        <v>-693</v>
      </c>
      <c r="G52">
        <f t="shared" si="2"/>
        <v>0.37199999999938882</v>
      </c>
      <c r="H52">
        <f t="shared" si="3"/>
        <v>0.37199999999938882</v>
      </c>
      <c r="O52">
        <f t="shared" ca="1" si="4"/>
        <v>0.34691759382286935</v>
      </c>
      <c r="Q52" s="2">
        <f t="shared" si="5"/>
        <v>13620.004000000001</v>
      </c>
      <c r="S52">
        <f t="shared" ca="1" si="6"/>
        <v>2.5082406176519467E-2</v>
      </c>
    </row>
    <row r="53" spans="1:19" x14ac:dyDescent="0.2">
      <c r="A53" t="s">
        <v>75</v>
      </c>
      <c r="B53" s="6" t="s">
        <v>243</v>
      </c>
      <c r="C53" s="15">
        <v>28658.371999999999</v>
      </c>
      <c r="D53" s="15" t="s">
        <v>42</v>
      </c>
      <c r="E53">
        <f t="shared" ref="E53:E83" si="8">+(C53-C$7)/C$8</f>
        <v>-682.85463659147956</v>
      </c>
      <c r="F53">
        <f t="shared" si="7"/>
        <v>-683</v>
      </c>
      <c r="G53">
        <f t="shared" ref="G53:G83" si="9">+C53-(C$7+F53*C$8)</f>
        <v>0.28999999999723514</v>
      </c>
      <c r="H53">
        <f t="shared" ref="H53:H71" si="10">+G53</f>
        <v>0.28999999999723514</v>
      </c>
      <c r="O53">
        <f t="shared" ref="O53:O83" ca="1" si="11">+C$11+C$12*$F53</f>
        <v>0.34189563107179527</v>
      </c>
      <c r="Q53" s="2">
        <f t="shared" ref="Q53:Q83" si="12">+C53-15018.5</f>
        <v>13639.871999999999</v>
      </c>
      <c r="S53">
        <f t="shared" ca="1" si="6"/>
        <v>-5.1895631074560133E-2</v>
      </c>
    </row>
    <row r="54" spans="1:19" x14ac:dyDescent="0.2">
      <c r="A54" t="s">
        <v>128</v>
      </c>
      <c r="B54" s="6" t="s">
        <v>243</v>
      </c>
      <c r="C54" s="15">
        <v>28660.465</v>
      </c>
      <c r="D54" s="15" t="s">
        <v>42</v>
      </c>
      <c r="E54">
        <f t="shared" si="8"/>
        <v>-681.80551378446171</v>
      </c>
      <c r="F54">
        <f t="shared" si="7"/>
        <v>-682</v>
      </c>
      <c r="G54">
        <f t="shared" si="9"/>
        <v>0.38799999999901047</v>
      </c>
      <c r="H54">
        <f t="shared" si="10"/>
        <v>0.38799999999901047</v>
      </c>
      <c r="O54">
        <f t="shared" ca="1" si="11"/>
        <v>0.34139343479668788</v>
      </c>
      <c r="Q54" s="2">
        <f t="shared" si="12"/>
        <v>13641.965</v>
      </c>
      <c r="S54">
        <f t="shared" ca="1" si="6"/>
        <v>4.6606565202322592E-2</v>
      </c>
    </row>
    <row r="55" spans="1:19" x14ac:dyDescent="0.2">
      <c r="A55" t="s">
        <v>128</v>
      </c>
      <c r="B55" s="6" t="s">
        <v>243</v>
      </c>
      <c r="C55" s="15">
        <v>28664.429</v>
      </c>
      <c r="D55" s="15" t="s">
        <v>42</v>
      </c>
      <c r="E55">
        <f t="shared" si="8"/>
        <v>-679.81854636591538</v>
      </c>
      <c r="F55">
        <f t="shared" si="7"/>
        <v>-680</v>
      </c>
      <c r="G55">
        <f t="shared" si="9"/>
        <v>0.36199999999735155</v>
      </c>
      <c r="H55">
        <f t="shared" si="10"/>
        <v>0.36199999999735155</v>
      </c>
      <c r="O55">
        <f t="shared" ca="1" si="11"/>
        <v>0.34038904224647309</v>
      </c>
      <c r="Q55" s="2">
        <f t="shared" si="12"/>
        <v>13645.929</v>
      </c>
      <c r="S55">
        <f t="shared" ca="1" si="6"/>
        <v>2.1610957750878457E-2</v>
      </c>
    </row>
    <row r="56" spans="1:19" x14ac:dyDescent="0.2">
      <c r="A56" t="s">
        <v>128</v>
      </c>
      <c r="B56" s="6" t="s">
        <v>243</v>
      </c>
      <c r="C56" s="15">
        <v>28684.383999999998</v>
      </c>
      <c r="D56" s="15" t="s">
        <v>42</v>
      </c>
      <c r="E56">
        <f t="shared" si="8"/>
        <v>-669.81604010025217</v>
      </c>
      <c r="F56">
        <f t="shared" si="7"/>
        <v>-670</v>
      </c>
      <c r="G56">
        <f t="shared" si="9"/>
        <v>0.36699999999837019</v>
      </c>
      <c r="H56">
        <f t="shared" si="10"/>
        <v>0.36699999999837019</v>
      </c>
      <c r="O56">
        <f t="shared" ca="1" si="11"/>
        <v>0.33536707949539901</v>
      </c>
      <c r="Q56" s="2">
        <f t="shared" si="12"/>
        <v>13665.883999999998</v>
      </c>
      <c r="S56">
        <f t="shared" ca="1" si="6"/>
        <v>3.1632920502971174E-2</v>
      </c>
    </row>
    <row r="57" spans="1:19" x14ac:dyDescent="0.2">
      <c r="A57" t="s">
        <v>128</v>
      </c>
      <c r="B57" s="6" t="s">
        <v>243</v>
      </c>
      <c r="C57" s="15">
        <v>28690.397000000001</v>
      </c>
      <c r="D57" s="15" t="s">
        <v>42</v>
      </c>
      <c r="E57">
        <f t="shared" si="8"/>
        <v>-666.80200501253148</v>
      </c>
      <c r="F57">
        <f t="shared" si="7"/>
        <v>-667</v>
      </c>
      <c r="G57">
        <f t="shared" si="9"/>
        <v>0.39500000000043656</v>
      </c>
      <c r="H57">
        <f t="shared" si="10"/>
        <v>0.39500000000043656</v>
      </c>
      <c r="O57">
        <f t="shared" ca="1" si="11"/>
        <v>0.33386049067007678</v>
      </c>
      <c r="Q57" s="2">
        <f t="shared" si="12"/>
        <v>13671.897000000001</v>
      </c>
      <c r="S57">
        <f t="shared" ca="1" si="6"/>
        <v>6.1139509330359776E-2</v>
      </c>
    </row>
    <row r="58" spans="1:19" x14ac:dyDescent="0.2">
      <c r="A58" t="s">
        <v>128</v>
      </c>
      <c r="B58" s="6" t="s">
        <v>243</v>
      </c>
      <c r="C58" s="15">
        <v>28692.365000000002</v>
      </c>
      <c r="D58" s="15" t="s">
        <v>42</v>
      </c>
      <c r="E58">
        <f t="shared" si="8"/>
        <v>-665.81553884711764</v>
      </c>
      <c r="F58">
        <f t="shared" si="7"/>
        <v>-666</v>
      </c>
      <c r="G58">
        <f t="shared" si="9"/>
        <v>0.36799999999857391</v>
      </c>
      <c r="H58">
        <f t="shared" si="10"/>
        <v>0.36799999999857391</v>
      </c>
      <c r="O58">
        <f t="shared" ca="1" si="11"/>
        <v>0.33335829439496939</v>
      </c>
      <c r="Q58" s="2">
        <f t="shared" si="12"/>
        <v>13673.865000000002</v>
      </c>
      <c r="S58">
        <f t="shared" ca="1" si="6"/>
        <v>3.4641705603604522E-2</v>
      </c>
    </row>
    <row r="59" spans="1:19" x14ac:dyDescent="0.2">
      <c r="A59" t="s">
        <v>168</v>
      </c>
      <c r="B59" s="6" t="s">
        <v>243</v>
      </c>
      <c r="C59" s="15">
        <v>28692.43</v>
      </c>
      <c r="D59" s="15" t="s">
        <v>42</v>
      </c>
      <c r="E59">
        <f t="shared" si="8"/>
        <v>-665.78295739348414</v>
      </c>
      <c r="F59">
        <f t="shared" si="7"/>
        <v>-666</v>
      </c>
      <c r="G59">
        <f t="shared" si="9"/>
        <v>0.43299999999726424</v>
      </c>
      <c r="H59">
        <f t="shared" si="10"/>
        <v>0.43299999999726424</v>
      </c>
      <c r="O59">
        <f t="shared" ca="1" si="11"/>
        <v>0.33335829439496939</v>
      </c>
      <c r="Q59" s="2">
        <f t="shared" si="12"/>
        <v>13673.93</v>
      </c>
      <c r="S59">
        <f t="shared" ca="1" si="6"/>
        <v>9.964170560229485E-2</v>
      </c>
    </row>
    <row r="60" spans="1:19" x14ac:dyDescent="0.2">
      <c r="A60" t="s">
        <v>128</v>
      </c>
      <c r="B60" s="6" t="s">
        <v>243</v>
      </c>
      <c r="C60" s="15">
        <v>28694.341</v>
      </c>
      <c r="D60" s="15" t="s">
        <v>42</v>
      </c>
      <c r="E60">
        <f t="shared" si="8"/>
        <v>-664.82506265664199</v>
      </c>
      <c r="F60">
        <f t="shared" si="7"/>
        <v>-665</v>
      </c>
      <c r="G60">
        <f t="shared" si="9"/>
        <v>0.34899999999834108</v>
      </c>
      <c r="H60">
        <f t="shared" si="10"/>
        <v>0.34899999999834108</v>
      </c>
      <c r="O60">
        <f t="shared" ca="1" si="11"/>
        <v>0.332856098119862</v>
      </c>
      <c r="Q60" s="2">
        <f t="shared" si="12"/>
        <v>13675.841</v>
      </c>
      <c r="S60">
        <f t="shared" ca="1" si="6"/>
        <v>1.6143901878479083E-2</v>
      </c>
    </row>
    <row r="61" spans="1:19" x14ac:dyDescent="0.2">
      <c r="A61" t="s">
        <v>75</v>
      </c>
      <c r="B61" s="6" t="s">
        <v>243</v>
      </c>
      <c r="C61" s="15">
        <v>28951.544000000002</v>
      </c>
      <c r="D61" s="15" t="s">
        <v>42</v>
      </c>
      <c r="E61">
        <f t="shared" si="8"/>
        <v>-535.90125313283181</v>
      </c>
      <c r="F61">
        <f t="shared" si="7"/>
        <v>-536</v>
      </c>
      <c r="G61">
        <f t="shared" si="9"/>
        <v>0.19700000000011642</v>
      </c>
      <c r="H61">
        <f t="shared" si="10"/>
        <v>0.19700000000011642</v>
      </c>
      <c r="O61">
        <f t="shared" ca="1" si="11"/>
        <v>0.26807277863100654</v>
      </c>
      <c r="Q61" s="2">
        <f t="shared" si="12"/>
        <v>13933.044000000002</v>
      </c>
      <c r="S61">
        <f t="shared" ca="1" si="6"/>
        <v>-7.1072778630890121E-2</v>
      </c>
    </row>
    <row r="62" spans="1:19" x14ac:dyDescent="0.2">
      <c r="A62" t="s">
        <v>75</v>
      </c>
      <c r="B62" s="6" t="s">
        <v>243</v>
      </c>
      <c r="C62" s="15">
        <v>28953.550999999999</v>
      </c>
      <c r="D62" s="15" t="s">
        <v>42</v>
      </c>
      <c r="E62">
        <f t="shared" si="8"/>
        <v>-534.89523809523894</v>
      </c>
      <c r="F62">
        <f t="shared" si="7"/>
        <v>-535</v>
      </c>
      <c r="G62">
        <f t="shared" si="9"/>
        <v>0.20899999999892316</v>
      </c>
      <c r="H62">
        <f t="shared" si="10"/>
        <v>0.20899999999892316</v>
      </c>
      <c r="O62">
        <f t="shared" ca="1" si="11"/>
        <v>0.26757058235589909</v>
      </c>
      <c r="Q62" s="2">
        <f t="shared" si="12"/>
        <v>13935.050999999999</v>
      </c>
      <c r="S62">
        <f t="shared" ca="1" si="6"/>
        <v>-5.8570582356975931E-2</v>
      </c>
    </row>
    <row r="63" spans="1:19" x14ac:dyDescent="0.2">
      <c r="A63" t="s">
        <v>75</v>
      </c>
      <c r="B63" s="6" t="s">
        <v>243</v>
      </c>
      <c r="C63" s="15">
        <v>29007.427</v>
      </c>
      <c r="D63" s="15" t="s">
        <v>42</v>
      </c>
      <c r="E63">
        <f t="shared" si="8"/>
        <v>-507.88972431077769</v>
      </c>
      <c r="F63">
        <f t="shared" si="7"/>
        <v>-508</v>
      </c>
      <c r="G63">
        <f t="shared" si="9"/>
        <v>0.21999999999752617</v>
      </c>
      <c r="H63">
        <f t="shared" si="10"/>
        <v>0.21999999999752617</v>
      </c>
      <c r="O63">
        <f t="shared" ca="1" si="11"/>
        <v>0.25401128292799913</v>
      </c>
      <c r="Q63" s="2">
        <f t="shared" si="12"/>
        <v>13988.927</v>
      </c>
      <c r="S63">
        <f t="shared" ca="1" si="6"/>
        <v>-3.4011282930472952E-2</v>
      </c>
    </row>
    <row r="64" spans="1:19" x14ac:dyDescent="0.2">
      <c r="A64" t="s">
        <v>75</v>
      </c>
      <c r="B64" s="6" t="s">
        <v>243</v>
      </c>
      <c r="C64" s="15">
        <v>29374.440999999999</v>
      </c>
      <c r="D64" s="15" t="s">
        <v>42</v>
      </c>
      <c r="E64">
        <f t="shared" si="8"/>
        <v>-323.92280701754504</v>
      </c>
      <c r="F64">
        <f t="shared" si="7"/>
        <v>-324</v>
      </c>
      <c r="G64">
        <f t="shared" si="9"/>
        <v>0.15399999999863212</v>
      </c>
      <c r="H64">
        <f t="shared" si="10"/>
        <v>0.15399999999863212</v>
      </c>
      <c r="O64">
        <f t="shared" ca="1" si="11"/>
        <v>0.16160716830823629</v>
      </c>
      <c r="Q64" s="2">
        <f t="shared" si="12"/>
        <v>14355.940999999999</v>
      </c>
      <c r="S64">
        <f t="shared" ca="1" si="6"/>
        <v>-7.6071683096041731E-3</v>
      </c>
    </row>
    <row r="65" spans="1:19" x14ac:dyDescent="0.2">
      <c r="A65" t="s">
        <v>75</v>
      </c>
      <c r="B65" s="6" t="s">
        <v>243</v>
      </c>
      <c r="C65" s="15">
        <v>29376.442999999999</v>
      </c>
      <c r="D65" s="15" t="s">
        <v>42</v>
      </c>
      <c r="E65">
        <f t="shared" si="8"/>
        <v>-322.91929824561498</v>
      </c>
      <c r="F65">
        <f t="shared" si="7"/>
        <v>-323</v>
      </c>
      <c r="G65">
        <f t="shared" si="9"/>
        <v>0.16099999999642023</v>
      </c>
      <c r="H65">
        <f t="shared" si="10"/>
        <v>0.16099999999642023</v>
      </c>
      <c r="O65">
        <f t="shared" ca="1" si="11"/>
        <v>0.16110497203312887</v>
      </c>
      <c r="Q65" s="2">
        <f t="shared" si="12"/>
        <v>14357.942999999999</v>
      </c>
      <c r="S65">
        <f t="shared" ca="1" si="6"/>
        <v>-1.0497203670864486E-4</v>
      </c>
    </row>
    <row r="66" spans="1:19" x14ac:dyDescent="0.2">
      <c r="A66" t="s">
        <v>75</v>
      </c>
      <c r="B66" s="6" t="s">
        <v>243</v>
      </c>
      <c r="C66" s="15">
        <v>29400.415000000001</v>
      </c>
      <c r="D66" s="15" t="s">
        <v>42</v>
      </c>
      <c r="E66">
        <f t="shared" si="8"/>
        <v>-310.90325814536362</v>
      </c>
      <c r="F66">
        <f t="shared" si="7"/>
        <v>-311</v>
      </c>
      <c r="G66">
        <f t="shared" si="9"/>
        <v>0.19299999999930151</v>
      </c>
      <c r="H66">
        <f t="shared" si="10"/>
        <v>0.19299999999930151</v>
      </c>
      <c r="O66">
        <f t="shared" ca="1" si="11"/>
        <v>0.15507861673184001</v>
      </c>
      <c r="Q66" s="2">
        <f t="shared" si="12"/>
        <v>14381.915000000001</v>
      </c>
      <c r="S66">
        <f t="shared" ca="1" si="6"/>
        <v>3.79213832674615E-2</v>
      </c>
    </row>
    <row r="67" spans="1:19" x14ac:dyDescent="0.2">
      <c r="A67" t="s">
        <v>193</v>
      </c>
      <c r="B67" s="6" t="s">
        <v>243</v>
      </c>
      <c r="C67" s="15">
        <v>29442.272000000001</v>
      </c>
      <c r="D67" s="15" t="s">
        <v>42</v>
      </c>
      <c r="E67">
        <f t="shared" si="8"/>
        <v>-289.92230576441125</v>
      </c>
      <c r="F67">
        <f t="shared" si="7"/>
        <v>-290</v>
      </c>
      <c r="G67">
        <f t="shared" si="9"/>
        <v>0.15499999999883585</v>
      </c>
      <c r="H67">
        <f t="shared" si="10"/>
        <v>0.15499999999883585</v>
      </c>
      <c r="O67">
        <f t="shared" ca="1" si="11"/>
        <v>0.14453249495458445</v>
      </c>
      <c r="Q67" s="2">
        <f t="shared" si="12"/>
        <v>14423.772000000001</v>
      </c>
      <c r="S67">
        <f t="shared" ca="1" si="6"/>
        <v>1.0467505044251396E-2</v>
      </c>
    </row>
    <row r="68" spans="1:19" x14ac:dyDescent="0.2">
      <c r="A68" t="s">
        <v>75</v>
      </c>
      <c r="B68" s="6" t="s">
        <v>243</v>
      </c>
      <c r="C68" s="15">
        <v>29727.499</v>
      </c>
      <c r="D68" s="15" t="s">
        <v>42</v>
      </c>
      <c r="E68">
        <f t="shared" si="8"/>
        <v>-146.95137844611602</v>
      </c>
      <c r="F68">
        <f t="shared" si="7"/>
        <v>-147</v>
      </c>
      <c r="G68">
        <f t="shared" si="9"/>
        <v>9.6999999997933628E-2</v>
      </c>
      <c r="H68">
        <f t="shared" si="10"/>
        <v>9.6999999997933628E-2</v>
      </c>
      <c r="O68">
        <f t="shared" ca="1" si="11"/>
        <v>7.2718427614225312E-2</v>
      </c>
      <c r="Q68" s="2">
        <f t="shared" si="12"/>
        <v>14708.999</v>
      </c>
      <c r="S68">
        <f t="shared" ca="1" si="6"/>
        <v>2.4281572383708316E-2</v>
      </c>
    </row>
    <row r="69" spans="1:19" x14ac:dyDescent="0.2">
      <c r="A69" t="s">
        <v>75</v>
      </c>
      <c r="B69" s="6" t="s">
        <v>243</v>
      </c>
      <c r="C69" s="15">
        <v>29747.428</v>
      </c>
      <c r="D69" s="15" t="s">
        <v>42</v>
      </c>
      <c r="E69">
        <f t="shared" si="8"/>
        <v>-136.96190476190546</v>
      </c>
      <c r="F69">
        <f t="shared" si="7"/>
        <v>-137</v>
      </c>
      <c r="G69">
        <f t="shared" si="9"/>
        <v>7.5999999997293344E-2</v>
      </c>
      <c r="H69">
        <f t="shared" si="10"/>
        <v>7.5999999997293344E-2</v>
      </c>
      <c r="O69">
        <f t="shared" ca="1" si="11"/>
        <v>6.7696464863151243E-2</v>
      </c>
      <c r="Q69" s="2">
        <f t="shared" si="12"/>
        <v>14728.928</v>
      </c>
      <c r="S69">
        <f t="shared" ca="1" si="6"/>
        <v>8.303535134142101E-3</v>
      </c>
    </row>
    <row r="70" spans="1:19" x14ac:dyDescent="0.2">
      <c r="A70" t="s">
        <v>12</v>
      </c>
      <c r="B70" s="6"/>
      <c r="C70" s="15">
        <v>30020.667000000001</v>
      </c>
      <c r="D70" s="15" t="s">
        <v>14</v>
      </c>
      <c r="E70">
        <f t="shared" si="8"/>
        <v>0</v>
      </c>
      <c r="F70">
        <f t="shared" si="7"/>
        <v>0</v>
      </c>
      <c r="G70">
        <f t="shared" si="9"/>
        <v>0</v>
      </c>
      <c r="H70">
        <f t="shared" si="10"/>
        <v>0</v>
      </c>
      <c r="O70">
        <f t="shared" ca="1" si="11"/>
        <v>-1.1044248265634771E-3</v>
      </c>
      <c r="Q70" s="2">
        <f t="shared" si="12"/>
        <v>15002.167000000001</v>
      </c>
      <c r="S70">
        <f t="shared" ca="1" si="6"/>
        <v>1.1044248265634771E-3</v>
      </c>
    </row>
    <row r="71" spans="1:19" x14ac:dyDescent="0.2">
      <c r="A71" t="s">
        <v>75</v>
      </c>
      <c r="B71" s="6" t="s">
        <v>243</v>
      </c>
      <c r="C71" s="15">
        <v>30377.651000000002</v>
      </c>
      <c r="D71" s="15" t="s">
        <v>42</v>
      </c>
      <c r="E71">
        <f t="shared" si="8"/>
        <v>178.93934837092749</v>
      </c>
      <c r="F71">
        <f t="shared" si="7"/>
        <v>179</v>
      </c>
      <c r="G71">
        <f t="shared" si="9"/>
        <v>-0.12099999999918509</v>
      </c>
      <c r="H71">
        <f t="shared" si="10"/>
        <v>-0.12099999999918509</v>
      </c>
      <c r="O71">
        <f t="shared" ca="1" si="11"/>
        <v>-9.099755807078927E-2</v>
      </c>
      <c r="Q71" s="2">
        <f t="shared" si="12"/>
        <v>15359.151000000002</v>
      </c>
      <c r="S71">
        <f t="shared" ca="1" si="6"/>
        <v>-3.0002441928395823E-2</v>
      </c>
    </row>
    <row r="72" spans="1:19" x14ac:dyDescent="0.2">
      <c r="A72" t="s">
        <v>75</v>
      </c>
      <c r="B72" s="6" t="s">
        <v>243</v>
      </c>
      <c r="C72" s="15">
        <v>30431.578000000001</v>
      </c>
      <c r="D72" s="15" t="s">
        <v>42</v>
      </c>
      <c r="E72">
        <f t="shared" si="8"/>
        <v>205.97042606516291</v>
      </c>
      <c r="F72">
        <f t="shared" si="7"/>
        <v>206</v>
      </c>
      <c r="G72">
        <f t="shared" si="9"/>
        <v>-5.9000000001105946E-2</v>
      </c>
      <c r="I72">
        <f t="shared" ref="I72:I83" si="13">+G72</f>
        <v>-5.9000000001105946E-2</v>
      </c>
      <c r="O72">
        <f t="shared" ca="1" si="11"/>
        <v>-0.10455685749868926</v>
      </c>
      <c r="Q72" s="2">
        <f t="shared" si="12"/>
        <v>15413.078000000001</v>
      </c>
      <c r="S72">
        <f t="shared" ca="1" si="6"/>
        <v>4.5556857497583314E-2</v>
      </c>
    </row>
    <row r="73" spans="1:19" x14ac:dyDescent="0.2">
      <c r="A73" t="s">
        <v>75</v>
      </c>
      <c r="B73" s="6" t="s">
        <v>243</v>
      </c>
      <c r="C73" s="15">
        <v>30457.491000000002</v>
      </c>
      <c r="D73" s="15" t="s">
        <v>42</v>
      </c>
      <c r="E73">
        <f t="shared" si="8"/>
        <v>218.95939849624085</v>
      </c>
      <c r="F73">
        <f t="shared" si="7"/>
        <v>219</v>
      </c>
      <c r="G73">
        <f t="shared" si="9"/>
        <v>-8.0999999998311978E-2</v>
      </c>
      <c r="I73">
        <f t="shared" si="13"/>
        <v>-8.0999999998311978E-2</v>
      </c>
      <c r="O73">
        <f t="shared" ca="1" si="11"/>
        <v>-0.11108540907508554</v>
      </c>
      <c r="Q73" s="2">
        <f t="shared" si="12"/>
        <v>15438.991000000002</v>
      </c>
      <c r="S73">
        <f t="shared" ca="1" si="6"/>
        <v>3.0085409076773567E-2</v>
      </c>
    </row>
    <row r="74" spans="1:19" x14ac:dyDescent="0.2">
      <c r="A74" t="s">
        <v>75</v>
      </c>
      <c r="B74" s="6" t="s">
        <v>243</v>
      </c>
      <c r="C74" s="15">
        <v>30461.451000000001</v>
      </c>
      <c r="D74" s="15" t="s">
        <v>42</v>
      </c>
      <c r="E74">
        <f t="shared" si="8"/>
        <v>220.94436090225545</v>
      </c>
      <c r="F74">
        <f t="shared" si="7"/>
        <v>221</v>
      </c>
      <c r="G74">
        <f t="shared" si="9"/>
        <v>-0.1110000000007858</v>
      </c>
      <c r="I74">
        <f t="shared" si="13"/>
        <v>-0.1110000000007858</v>
      </c>
      <c r="O74">
        <f t="shared" ca="1" si="11"/>
        <v>-0.11208980162530036</v>
      </c>
      <c r="Q74" s="2">
        <f t="shared" si="12"/>
        <v>15442.951000000001</v>
      </c>
      <c r="S74">
        <f t="shared" ca="1" si="6"/>
        <v>1.0898016245145525E-3</v>
      </c>
    </row>
    <row r="75" spans="1:19" x14ac:dyDescent="0.2">
      <c r="A75" t="s">
        <v>75</v>
      </c>
      <c r="B75" s="6" t="s">
        <v>243</v>
      </c>
      <c r="C75" s="15">
        <v>30465.428</v>
      </c>
      <c r="D75" s="15" t="s">
        <v>42</v>
      </c>
      <c r="E75">
        <f t="shared" si="8"/>
        <v>222.93784461152811</v>
      </c>
      <c r="F75">
        <f t="shared" si="7"/>
        <v>223</v>
      </c>
      <c r="G75">
        <f t="shared" si="9"/>
        <v>-0.12399999999979627</v>
      </c>
      <c r="I75">
        <f t="shared" si="13"/>
        <v>-0.12399999999979627</v>
      </c>
      <c r="O75">
        <f t="shared" ca="1" si="11"/>
        <v>-0.11309419417551517</v>
      </c>
      <c r="Q75" s="2">
        <f t="shared" si="12"/>
        <v>15446.928</v>
      </c>
      <c r="S75">
        <f t="shared" ca="1" si="6"/>
        <v>-1.0905805824281106E-2</v>
      </c>
    </row>
    <row r="76" spans="1:19" x14ac:dyDescent="0.2">
      <c r="A76" t="s">
        <v>75</v>
      </c>
      <c r="B76" s="6" t="s">
        <v>243</v>
      </c>
      <c r="C76" s="15">
        <v>30784.569</v>
      </c>
      <c r="D76" s="15" t="s">
        <v>42</v>
      </c>
      <c r="E76">
        <f t="shared" si="8"/>
        <v>382.90827067669085</v>
      </c>
      <c r="F76">
        <f t="shared" si="7"/>
        <v>383</v>
      </c>
      <c r="G76">
        <f t="shared" si="9"/>
        <v>-0.18300000000090222</v>
      </c>
      <c r="I76">
        <f t="shared" si="13"/>
        <v>-0.18300000000090222</v>
      </c>
      <c r="O76">
        <f t="shared" ca="1" si="11"/>
        <v>-0.19344559819270024</v>
      </c>
      <c r="Q76" s="2">
        <f t="shared" si="12"/>
        <v>15766.069</v>
      </c>
      <c r="S76">
        <f t="shared" ca="1" si="6"/>
        <v>1.0445598191798022E-2</v>
      </c>
    </row>
    <row r="77" spans="1:19" x14ac:dyDescent="0.2">
      <c r="A77" t="s">
        <v>75</v>
      </c>
      <c r="B77" s="6" t="s">
        <v>243</v>
      </c>
      <c r="C77" s="15">
        <v>30792.562999999998</v>
      </c>
      <c r="D77" s="15" t="s">
        <v>42</v>
      </c>
      <c r="E77">
        <f t="shared" si="8"/>
        <v>386.91528822054988</v>
      </c>
      <c r="F77">
        <f t="shared" si="7"/>
        <v>387</v>
      </c>
      <c r="G77">
        <f t="shared" si="9"/>
        <v>-0.16900000000168802</v>
      </c>
      <c r="I77">
        <f t="shared" si="13"/>
        <v>-0.16900000000168802</v>
      </c>
      <c r="O77">
        <f t="shared" ca="1" si="11"/>
        <v>-0.19545438329312986</v>
      </c>
      <c r="Q77" s="2">
        <f t="shared" si="12"/>
        <v>15774.062999999998</v>
      </c>
      <c r="S77">
        <f t="shared" ca="1" si="6"/>
        <v>2.6454383291441841E-2</v>
      </c>
    </row>
    <row r="78" spans="1:19" x14ac:dyDescent="0.2">
      <c r="A78" t="s">
        <v>75</v>
      </c>
      <c r="B78" s="6" t="s">
        <v>243</v>
      </c>
      <c r="C78" s="15">
        <v>30818.506000000001</v>
      </c>
      <c r="D78" s="15" t="s">
        <v>42</v>
      </c>
      <c r="E78">
        <f t="shared" si="8"/>
        <v>399.91929824561396</v>
      </c>
      <c r="F78">
        <f t="shared" si="7"/>
        <v>400</v>
      </c>
      <c r="G78">
        <f t="shared" si="9"/>
        <v>-0.16100000000005821</v>
      </c>
      <c r="I78">
        <f t="shared" si="13"/>
        <v>-0.16100000000005821</v>
      </c>
      <c r="O78">
        <f t="shared" ca="1" si="11"/>
        <v>-0.20198293486952615</v>
      </c>
      <c r="Q78" s="2">
        <f t="shared" si="12"/>
        <v>15800.006000000001</v>
      </c>
      <c r="S78">
        <f t="shared" ca="1" si="6"/>
        <v>4.0982934869467941E-2</v>
      </c>
    </row>
    <row r="79" spans="1:19" x14ac:dyDescent="0.2">
      <c r="A79" t="s">
        <v>75</v>
      </c>
      <c r="B79" s="6" t="s">
        <v>243</v>
      </c>
      <c r="C79" s="15">
        <v>30820.455000000002</v>
      </c>
      <c r="D79" s="15" t="s">
        <v>42</v>
      </c>
      <c r="E79">
        <f t="shared" si="8"/>
        <v>400.89624060150396</v>
      </c>
      <c r="F79">
        <f t="shared" si="7"/>
        <v>401</v>
      </c>
      <c r="G79">
        <f t="shared" si="9"/>
        <v>-0.2069999999985157</v>
      </c>
      <c r="I79">
        <f t="shared" si="13"/>
        <v>-0.2069999999985157</v>
      </c>
      <c r="O79">
        <f t="shared" ca="1" si="11"/>
        <v>-0.20248513114463357</v>
      </c>
      <c r="Q79" s="2">
        <f t="shared" si="12"/>
        <v>15801.955000000002</v>
      </c>
      <c r="S79">
        <f t="shared" ca="1" si="6"/>
        <v>-4.5148688538821369E-3</v>
      </c>
    </row>
    <row r="80" spans="1:19" x14ac:dyDescent="0.2">
      <c r="A80" t="s">
        <v>75</v>
      </c>
      <c r="B80" s="6" t="s">
        <v>243</v>
      </c>
      <c r="C80" s="15">
        <v>30848.409</v>
      </c>
      <c r="D80" s="15" t="s">
        <v>42</v>
      </c>
      <c r="E80">
        <f t="shared" si="8"/>
        <v>414.9082706766909</v>
      </c>
      <c r="F80">
        <f t="shared" si="7"/>
        <v>415</v>
      </c>
      <c r="G80">
        <f t="shared" si="9"/>
        <v>-0.18300000000090222</v>
      </c>
      <c r="I80">
        <f t="shared" si="13"/>
        <v>-0.18300000000090222</v>
      </c>
      <c r="O80">
        <f t="shared" ca="1" si="11"/>
        <v>-0.20951587899613724</v>
      </c>
      <c r="Q80" s="2">
        <f t="shared" si="12"/>
        <v>15829.909</v>
      </c>
      <c r="S80">
        <f t="shared" ca="1" si="6"/>
        <v>2.6515878995235026E-2</v>
      </c>
    </row>
    <row r="81" spans="1:19" x14ac:dyDescent="0.2">
      <c r="A81" t="s">
        <v>234</v>
      </c>
      <c r="B81" s="6" t="s">
        <v>244</v>
      </c>
      <c r="C81" s="15">
        <v>51642.483999999997</v>
      </c>
      <c r="D81" s="15" t="s">
        <v>42</v>
      </c>
      <c r="E81">
        <f t="shared" si="8"/>
        <v>10838.003508771926</v>
      </c>
      <c r="F81" s="42">
        <f>ROUND(2*E81,0)/2+F$11</f>
        <v>10841</v>
      </c>
      <c r="G81">
        <f t="shared" si="9"/>
        <v>-5.978000000002794</v>
      </c>
      <c r="I81">
        <f t="shared" si="13"/>
        <v>-5.978000000002794</v>
      </c>
      <c r="O81">
        <f t="shared" ca="1" si="11"/>
        <v>-5.4454142432659598</v>
      </c>
      <c r="Q81" s="2">
        <f t="shared" si="12"/>
        <v>36623.983999999997</v>
      </c>
      <c r="S81">
        <f t="shared" ca="1" si="6"/>
        <v>-0.53258575673683417</v>
      </c>
    </row>
    <row r="82" spans="1:19" x14ac:dyDescent="0.2">
      <c r="A82" t="s">
        <v>239</v>
      </c>
      <c r="B82" s="6" t="s">
        <v>244</v>
      </c>
      <c r="C82" s="15">
        <v>52019.417000000001</v>
      </c>
      <c r="D82" s="15" t="s">
        <v>42</v>
      </c>
      <c r="E82">
        <f t="shared" si="8"/>
        <v>11026.942355889723</v>
      </c>
      <c r="F82" s="42">
        <f>ROUND(2*E82,0)/2+F$11</f>
        <v>11030</v>
      </c>
      <c r="G82">
        <f t="shared" si="9"/>
        <v>-6.1000000000058208</v>
      </c>
      <c r="K82">
        <f>+G82</f>
        <v>-6.1000000000058208</v>
      </c>
      <c r="O82">
        <f t="shared" ca="1" si="11"/>
        <v>-5.5403293392612589</v>
      </c>
      <c r="Q82" s="2">
        <f t="shared" si="12"/>
        <v>37000.917000000001</v>
      </c>
      <c r="S82">
        <f t="shared" ca="1" si="6"/>
        <v>-0.55967066074456184</v>
      </c>
    </row>
    <row r="83" spans="1:19" x14ac:dyDescent="0.2">
      <c r="A83" t="s">
        <v>239</v>
      </c>
      <c r="B83" s="6" t="s">
        <v>244</v>
      </c>
      <c r="C83" s="15">
        <v>52023.402999999998</v>
      </c>
      <c r="D83" s="15" t="s">
        <v>42</v>
      </c>
      <c r="E83">
        <f t="shared" si="8"/>
        <v>11028.94035087719</v>
      </c>
      <c r="F83" s="42">
        <f>ROUND(2*E83,0)/2+F$11</f>
        <v>11032</v>
      </c>
      <c r="G83">
        <f t="shared" si="9"/>
        <v>-6.1039999999993597</v>
      </c>
      <c r="K83">
        <f>+G83</f>
        <v>-6.1039999999993597</v>
      </c>
      <c r="O83">
        <f t="shared" ca="1" si="11"/>
        <v>-5.5413337318114735</v>
      </c>
      <c r="Q83" s="2">
        <f t="shared" si="12"/>
        <v>37004.902999999998</v>
      </c>
      <c r="S83">
        <f t="shared" ca="1" si="6"/>
        <v>-0.56266626818788623</v>
      </c>
    </row>
    <row r="84" spans="1:19" x14ac:dyDescent="0.2">
      <c r="A84" s="49" t="s">
        <v>257</v>
      </c>
      <c r="B84" s="50" t="s">
        <v>243</v>
      </c>
      <c r="C84" s="51">
        <v>59616.257699999958</v>
      </c>
      <c r="D84" s="15"/>
      <c r="E84">
        <f t="shared" ref="E84" si="14">+(C84-C$7)/C$8</f>
        <v>14834.882556390956</v>
      </c>
      <c r="F84" s="42">
        <f>ROUND(2*E84,0)/2+F$11</f>
        <v>14838</v>
      </c>
      <c r="G84">
        <f t="shared" ref="G84" si="15">+C84-(C$7+F84*C$8)</f>
        <v>-6.2193000000406755</v>
      </c>
      <c r="K84">
        <f>+G84</f>
        <v>-6.2193000000406755</v>
      </c>
      <c r="O84">
        <f t="shared" ref="O84" ca="1" si="16">+C$11+C$12*$F84</f>
        <v>-7.4526927548702648</v>
      </c>
      <c r="Q84" s="2">
        <f t="shared" ref="Q84" si="17">+C84-15018.5</f>
        <v>44597.757699999958</v>
      </c>
      <c r="S84">
        <f t="shared" ref="S84" ca="1" si="18">G84-O84</f>
        <v>1.2333927548295893</v>
      </c>
    </row>
    <row r="85" spans="1:19" x14ac:dyDescent="0.2">
      <c r="B85" s="6"/>
      <c r="C85" s="15"/>
      <c r="D85" s="15"/>
    </row>
    <row r="86" spans="1:19" x14ac:dyDescent="0.2">
      <c r="B86" s="6"/>
      <c r="C86" s="15"/>
      <c r="D86" s="15"/>
    </row>
    <row r="87" spans="1:19" x14ac:dyDescent="0.2">
      <c r="B87" s="6"/>
      <c r="C87" s="15"/>
      <c r="D87" s="15"/>
    </row>
    <row r="88" spans="1:19" x14ac:dyDescent="0.2">
      <c r="B88" s="6"/>
      <c r="C88" s="15"/>
      <c r="D88" s="15"/>
    </row>
    <row r="89" spans="1:19" x14ac:dyDescent="0.2">
      <c r="B89" s="6"/>
      <c r="C89" s="15"/>
      <c r="D89" s="15"/>
    </row>
    <row r="90" spans="1:19" x14ac:dyDescent="0.2">
      <c r="B90" s="6"/>
      <c r="C90" s="15"/>
      <c r="D90" s="15"/>
    </row>
    <row r="91" spans="1:19" x14ac:dyDescent="0.2">
      <c r="B91" s="6"/>
      <c r="C91" s="15"/>
      <c r="D91" s="15"/>
    </row>
    <row r="92" spans="1:19" x14ac:dyDescent="0.2">
      <c r="B92" s="6"/>
      <c r="C92" s="15"/>
      <c r="D92" s="15"/>
    </row>
    <row r="93" spans="1:19" x14ac:dyDescent="0.2">
      <c r="B93" s="6"/>
      <c r="C93" s="15"/>
      <c r="D93" s="15"/>
    </row>
    <row r="94" spans="1:19" x14ac:dyDescent="0.2">
      <c r="B94" s="6"/>
      <c r="C94" s="15"/>
      <c r="D94" s="15"/>
    </row>
    <row r="95" spans="1:19" x14ac:dyDescent="0.2">
      <c r="B95" s="6"/>
      <c r="C95" s="15"/>
      <c r="D95" s="15"/>
    </row>
    <row r="96" spans="1:19" x14ac:dyDescent="0.2">
      <c r="B96" s="6"/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workbookViewId="0">
      <pane ySplit="20" topLeftCell="A81" activePane="bottomLeft" state="frozen"/>
      <selection pane="bottomLef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  <c r="E1" s="47" t="s">
        <v>256</v>
      </c>
    </row>
    <row r="2" spans="1:6" x14ac:dyDescent="0.2">
      <c r="A2" t="s">
        <v>25</v>
      </c>
      <c r="B2" s="11" t="s">
        <v>29</v>
      </c>
    </row>
    <row r="4" spans="1:6" x14ac:dyDescent="0.2">
      <c r="A4" s="8" t="s">
        <v>0</v>
      </c>
      <c r="C4" s="3">
        <v>30020.667000000001</v>
      </c>
      <c r="D4" s="4">
        <v>1.9950000000000001</v>
      </c>
    </row>
    <row r="5" spans="1:6" x14ac:dyDescent="0.2">
      <c r="A5" s="30" t="s">
        <v>245</v>
      </c>
      <c r="B5" s="17"/>
      <c r="C5" s="48">
        <v>-9.5</v>
      </c>
      <c r="D5" s="31" t="s">
        <v>246</v>
      </c>
      <c r="E5" s="17"/>
    </row>
    <row r="6" spans="1:6" x14ac:dyDescent="0.2">
      <c r="A6" s="8" t="s">
        <v>1</v>
      </c>
    </row>
    <row r="7" spans="1:6" x14ac:dyDescent="0.2">
      <c r="A7" t="s">
        <v>2</v>
      </c>
      <c r="C7">
        <v>52023.42068385829</v>
      </c>
    </row>
    <row r="8" spans="1:6" x14ac:dyDescent="0.2">
      <c r="A8" t="s">
        <v>3</v>
      </c>
      <c r="C8">
        <v>1.9944488599972459</v>
      </c>
    </row>
    <row r="9" spans="1:6" x14ac:dyDescent="0.2">
      <c r="A9" s="32" t="s">
        <v>247</v>
      </c>
      <c r="B9" s="33">
        <v>21</v>
      </c>
      <c r="C9" s="34" t="str">
        <f>"F"&amp;B9</f>
        <v>F21</v>
      </c>
      <c r="D9" s="35" t="str">
        <f>"G"&amp;B9</f>
        <v>G21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34">
        <f ca="1">INTERCEPT(INDIRECT($D$9):G8996,INDIRECT($C$9):F8996)</f>
        <v>0.89289430778971701</v>
      </c>
      <c r="D11" s="6"/>
      <c r="F11">
        <v>3</v>
      </c>
    </row>
    <row r="12" spans="1:6" x14ac:dyDescent="0.2">
      <c r="A12" t="s">
        <v>17</v>
      </c>
      <c r="C12" s="34">
        <f ca="1">SLOPE(INDIRECT($D$9):G1982,INDIRECT($C$9):F1982)</f>
        <v>7.9114043996718854E-5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</row>
    <row r="15" spans="1:6" x14ac:dyDescent="0.2">
      <c r="A15" s="5" t="s">
        <v>18</v>
      </c>
      <c r="C15" s="12">
        <f ca="1">(C7+C11)+(C8+C12)*INT(MAX(F21:F3533))</f>
        <v>59615.487047367053</v>
      </c>
      <c r="E15" s="36" t="s">
        <v>248</v>
      </c>
      <c r="F15" s="37">
        <v>1</v>
      </c>
    </row>
    <row r="16" spans="1:6" x14ac:dyDescent="0.2">
      <c r="A16" s="8" t="s">
        <v>4</v>
      </c>
      <c r="C16" s="13">
        <f ca="1">+C8+C12</f>
        <v>1.9945279740412425</v>
      </c>
      <c r="E16" s="36" t="s">
        <v>249</v>
      </c>
      <c r="F16" s="38">
        <f ca="1">NOW()+15018.5+$C$5/24</f>
        <v>60178.861944907403</v>
      </c>
    </row>
    <row r="17" spans="1:17" ht="13.5" thickBot="1" x14ac:dyDescent="0.25">
      <c r="A17" s="14" t="s">
        <v>30</v>
      </c>
      <c r="C17">
        <f>COUNT(C21:C2191)</f>
        <v>64</v>
      </c>
      <c r="E17" s="36" t="s">
        <v>250</v>
      </c>
      <c r="F17" s="38">
        <f ca="1">ROUND(2*(F16-$C$7)/$C$8,0)/2+F15</f>
        <v>4090</v>
      </c>
    </row>
    <row r="18" spans="1:17" x14ac:dyDescent="0.2">
      <c r="A18" s="8" t="s">
        <v>5</v>
      </c>
      <c r="C18" s="3">
        <f ca="1">+C15</f>
        <v>59615.487047367053</v>
      </c>
      <c r="D18" s="4">
        <f ca="1">+C16</f>
        <v>1.9945279740412425</v>
      </c>
      <c r="E18" s="36" t="s">
        <v>251</v>
      </c>
      <c r="F18" s="39">
        <f ca="1">ROUND(2*(F16-$C$15)/$C$16,0)/2+F15</f>
        <v>283.5</v>
      </c>
    </row>
    <row r="19" spans="1:17" ht="13.5" thickTop="1" x14ac:dyDescent="0.2">
      <c r="E19" s="36" t="s">
        <v>252</v>
      </c>
      <c r="F19" s="40">
        <f ca="1">+$C$15+$C$16*F18-15018.5-$C$5/24</f>
        <v>45162.831561341081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39</v>
      </c>
      <c r="I20" s="10" t="s">
        <v>42</v>
      </c>
      <c r="J20" s="10" t="s">
        <v>36</v>
      </c>
      <c r="K20" s="10" t="s">
        <v>34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49</v>
      </c>
      <c r="B21" s="6" t="s">
        <v>243</v>
      </c>
      <c r="C21" s="15">
        <v>24286.400000000001</v>
      </c>
      <c r="D21" s="15" t="s">
        <v>42</v>
      </c>
      <c r="E21">
        <f t="shared" ref="E21:E52" si="0">+(C21-C$7)/C$8</f>
        <v>-13907.110500640558</v>
      </c>
      <c r="F21">
        <f t="shared" ref="F21:F43" si="1">ROUND(2*E21,0)/2</f>
        <v>-13907</v>
      </c>
      <c r="G21">
        <f t="shared" ref="G21:G52" si="2">+C21-(C$7+F21*C$8)</f>
        <v>-0.22038787659039372</v>
      </c>
      <c r="H21">
        <f t="shared" ref="H21:H52" si="3">+G21</f>
        <v>-0.22038787659039372</v>
      </c>
      <c r="O21">
        <f t="shared" ref="O21:O52" ca="1" si="4">+C$11+C$12*$F21</f>
        <v>-0.2073447020726521</v>
      </c>
      <c r="Q21" s="2">
        <f t="shared" ref="Q21:Q52" si="5">+C21-15018.5</f>
        <v>9267.9000000000015</v>
      </c>
    </row>
    <row r="22" spans="1:17" x14ac:dyDescent="0.2">
      <c r="A22" t="s">
        <v>49</v>
      </c>
      <c r="B22" s="6" t="s">
        <v>243</v>
      </c>
      <c r="C22" s="15">
        <v>24288.422999999999</v>
      </c>
      <c r="D22" s="15" t="s">
        <v>42</v>
      </c>
      <c r="E22">
        <f t="shared" si="0"/>
        <v>-13906.096185337432</v>
      </c>
      <c r="F22">
        <f t="shared" si="1"/>
        <v>-13906</v>
      </c>
      <c r="G22">
        <f t="shared" si="2"/>
        <v>-0.19183673659063061</v>
      </c>
      <c r="H22">
        <f t="shared" si="3"/>
        <v>-0.19183673659063061</v>
      </c>
      <c r="O22">
        <f t="shared" ca="1" si="4"/>
        <v>-0.20726558802865547</v>
      </c>
      <c r="Q22" s="2">
        <f t="shared" si="5"/>
        <v>9269.9229999999989</v>
      </c>
    </row>
    <row r="23" spans="1:17" x14ac:dyDescent="0.2">
      <c r="A23" t="s">
        <v>49</v>
      </c>
      <c r="B23" s="6" t="s">
        <v>243</v>
      </c>
      <c r="C23" s="15">
        <v>24302.386999999999</v>
      </c>
      <c r="D23" s="15" t="s">
        <v>42</v>
      </c>
      <c r="E23">
        <f t="shared" si="0"/>
        <v>-13899.094752370122</v>
      </c>
      <c r="F23">
        <f t="shared" si="1"/>
        <v>-13899</v>
      </c>
      <c r="G23">
        <f t="shared" si="2"/>
        <v>-0.18897875657057739</v>
      </c>
      <c r="H23">
        <f t="shared" si="3"/>
        <v>-0.18897875657057739</v>
      </c>
      <c r="O23">
        <f t="shared" ca="1" si="4"/>
        <v>-0.20671178972067838</v>
      </c>
      <c r="Q23" s="2">
        <f t="shared" si="5"/>
        <v>9283.8869999999988</v>
      </c>
    </row>
    <row r="24" spans="1:17" x14ac:dyDescent="0.2">
      <c r="A24" t="s">
        <v>49</v>
      </c>
      <c r="B24" s="6" t="s">
        <v>243</v>
      </c>
      <c r="C24" s="15">
        <v>24306.388999999999</v>
      </c>
      <c r="D24" s="15" t="s">
        <v>42</v>
      </c>
      <c r="E24">
        <f t="shared" si="0"/>
        <v>-13897.088182996362</v>
      </c>
      <c r="F24">
        <f t="shared" si="1"/>
        <v>-13897</v>
      </c>
      <c r="G24">
        <f t="shared" si="2"/>
        <v>-0.17587647656546324</v>
      </c>
      <c r="H24">
        <f t="shared" si="3"/>
        <v>-0.17587647656546324</v>
      </c>
      <c r="O24">
        <f t="shared" ca="1" si="4"/>
        <v>-0.2065535616326849</v>
      </c>
      <c r="Q24" s="2">
        <f t="shared" si="5"/>
        <v>9287.8889999999992</v>
      </c>
    </row>
    <row r="25" spans="1:17" x14ac:dyDescent="0.2">
      <c r="A25" t="s">
        <v>49</v>
      </c>
      <c r="B25" s="6" t="s">
        <v>243</v>
      </c>
      <c r="C25" s="15">
        <v>24310.385999999999</v>
      </c>
      <c r="D25" s="15" t="s">
        <v>42</v>
      </c>
      <c r="E25">
        <f t="shared" si="0"/>
        <v>-13895.084120580841</v>
      </c>
      <c r="F25">
        <f t="shared" si="1"/>
        <v>-13895</v>
      </c>
      <c r="G25">
        <f t="shared" si="2"/>
        <v>-0.16777419656136772</v>
      </c>
      <c r="H25">
        <f t="shared" si="3"/>
        <v>-0.16777419656136772</v>
      </c>
      <c r="O25">
        <f t="shared" ca="1" si="4"/>
        <v>-0.20639533354469142</v>
      </c>
      <c r="Q25" s="2">
        <f t="shared" si="5"/>
        <v>9291.8859999999986</v>
      </c>
    </row>
    <row r="26" spans="1:17" x14ac:dyDescent="0.2">
      <c r="A26" t="s">
        <v>49</v>
      </c>
      <c r="B26" s="6" t="s">
        <v>243</v>
      </c>
      <c r="C26" s="15">
        <v>24312.385999999999</v>
      </c>
      <c r="D26" s="15" t="s">
        <v>42</v>
      </c>
      <c r="E26">
        <f t="shared" si="0"/>
        <v>-13894.081337285608</v>
      </c>
      <c r="F26">
        <f t="shared" si="1"/>
        <v>-13894</v>
      </c>
      <c r="G26">
        <f t="shared" si="2"/>
        <v>-0.16222305655901437</v>
      </c>
      <c r="H26">
        <f t="shared" si="3"/>
        <v>-0.16222305655901437</v>
      </c>
      <c r="O26">
        <f t="shared" ca="1" si="4"/>
        <v>-0.20631621950069479</v>
      </c>
      <c r="Q26" s="2">
        <f t="shared" si="5"/>
        <v>9293.8859999999986</v>
      </c>
    </row>
    <row r="27" spans="1:17" x14ac:dyDescent="0.2">
      <c r="A27" t="s">
        <v>70</v>
      </c>
      <c r="B27" s="6" t="s">
        <v>243</v>
      </c>
      <c r="C27" s="15">
        <v>25622.698</v>
      </c>
      <c r="D27" s="15" t="s">
        <v>42</v>
      </c>
      <c r="E27">
        <f t="shared" si="0"/>
        <v>-13237.101844714507</v>
      </c>
      <c r="F27">
        <f t="shared" si="1"/>
        <v>-13237</v>
      </c>
      <c r="G27">
        <f t="shared" si="2"/>
        <v>-0.20312407474557403</v>
      </c>
      <c r="H27">
        <f t="shared" si="3"/>
        <v>-0.20312407474557403</v>
      </c>
      <c r="O27">
        <f t="shared" ca="1" si="4"/>
        <v>-0.15433829259485055</v>
      </c>
      <c r="Q27" s="2">
        <f t="shared" si="5"/>
        <v>10604.198</v>
      </c>
    </row>
    <row r="28" spans="1:17" x14ac:dyDescent="0.2">
      <c r="A28" t="s">
        <v>75</v>
      </c>
      <c r="B28" s="6" t="s">
        <v>243</v>
      </c>
      <c r="C28" s="15">
        <v>25680.592000000001</v>
      </c>
      <c r="D28" s="15" t="s">
        <v>42</v>
      </c>
      <c r="E28">
        <f t="shared" si="0"/>
        <v>-13208.074276667423</v>
      </c>
      <c r="F28">
        <f t="shared" si="1"/>
        <v>-13208</v>
      </c>
      <c r="G28">
        <f t="shared" si="2"/>
        <v>-0.14814101466618013</v>
      </c>
      <c r="H28">
        <f t="shared" si="3"/>
        <v>-0.14814101466618013</v>
      </c>
      <c r="O28">
        <f t="shared" ca="1" si="4"/>
        <v>-0.15204398531894558</v>
      </c>
      <c r="Q28" s="2">
        <f t="shared" si="5"/>
        <v>10662.092000000001</v>
      </c>
    </row>
    <row r="29" spans="1:17" x14ac:dyDescent="0.2">
      <c r="A29" t="s">
        <v>75</v>
      </c>
      <c r="B29" s="6" t="s">
        <v>243</v>
      </c>
      <c r="C29" s="15">
        <v>25740.39</v>
      </c>
      <c r="D29" s="15" t="s">
        <v>42</v>
      </c>
      <c r="E29">
        <f t="shared" si="0"/>
        <v>-13178.092058923279</v>
      </c>
      <c r="F29">
        <f t="shared" si="1"/>
        <v>-13178</v>
      </c>
      <c r="G29">
        <f t="shared" si="2"/>
        <v>-0.18360681458580075</v>
      </c>
      <c r="H29">
        <f t="shared" si="3"/>
        <v>-0.18360681458580075</v>
      </c>
      <c r="O29">
        <f t="shared" ca="1" si="4"/>
        <v>-0.14967056399904399</v>
      </c>
      <c r="Q29" s="2">
        <f t="shared" si="5"/>
        <v>10721.89</v>
      </c>
    </row>
    <row r="30" spans="1:17" x14ac:dyDescent="0.2">
      <c r="A30" t="s">
        <v>75</v>
      </c>
      <c r="B30" s="6" t="s">
        <v>243</v>
      </c>
      <c r="C30" s="15">
        <v>26057.548999999999</v>
      </c>
      <c r="D30" s="15" t="s">
        <v>42</v>
      </c>
      <c r="E30">
        <f t="shared" si="0"/>
        <v>-13019.071185357016</v>
      </c>
      <c r="F30">
        <f t="shared" si="1"/>
        <v>-13019</v>
      </c>
      <c r="G30">
        <f t="shared" si="2"/>
        <v>-0.14197555414648377</v>
      </c>
      <c r="H30">
        <f t="shared" si="3"/>
        <v>-0.14197555414648377</v>
      </c>
      <c r="O30">
        <f t="shared" ca="1" si="4"/>
        <v>-0.13709143100356569</v>
      </c>
      <c r="Q30" s="2">
        <f t="shared" si="5"/>
        <v>11039.048999999999</v>
      </c>
    </row>
    <row r="31" spans="1:17" x14ac:dyDescent="0.2">
      <c r="A31" t="s">
        <v>70</v>
      </c>
      <c r="B31" s="6" t="s">
        <v>243</v>
      </c>
      <c r="C31" s="15">
        <v>26065.544999999998</v>
      </c>
      <c r="D31" s="15" t="s">
        <v>42</v>
      </c>
      <c r="E31">
        <f t="shared" si="0"/>
        <v>-13015.062057742678</v>
      </c>
      <c r="F31">
        <f t="shared" si="1"/>
        <v>-13015</v>
      </c>
      <c r="G31">
        <f t="shared" si="2"/>
        <v>-0.12377099413788528</v>
      </c>
      <c r="H31">
        <f t="shared" si="3"/>
        <v>-0.12377099413788528</v>
      </c>
      <c r="O31">
        <f t="shared" ca="1" si="4"/>
        <v>-0.13677497482757894</v>
      </c>
      <c r="Q31" s="2">
        <f t="shared" si="5"/>
        <v>11047.044999999998</v>
      </c>
    </row>
    <row r="32" spans="1:17" x14ac:dyDescent="0.2">
      <c r="A32" t="s">
        <v>75</v>
      </c>
      <c r="B32" s="6" t="s">
        <v>243</v>
      </c>
      <c r="C32" s="15">
        <v>26089.451000000001</v>
      </c>
      <c r="D32" s="15" t="s">
        <v>42</v>
      </c>
      <c r="E32">
        <f t="shared" si="0"/>
        <v>-13003.075789014767</v>
      </c>
      <c r="F32">
        <f t="shared" si="1"/>
        <v>-13003</v>
      </c>
      <c r="G32">
        <f t="shared" si="2"/>
        <v>-0.15115731410332955</v>
      </c>
      <c r="H32">
        <f t="shared" si="3"/>
        <v>-0.15115731410332955</v>
      </c>
      <c r="O32">
        <f t="shared" ca="1" si="4"/>
        <v>-0.13582560629961826</v>
      </c>
      <c r="Q32" s="2">
        <f t="shared" si="5"/>
        <v>11070.951000000001</v>
      </c>
    </row>
    <row r="33" spans="1:17" x14ac:dyDescent="0.2">
      <c r="A33" t="s">
        <v>75</v>
      </c>
      <c r="B33" s="6" t="s">
        <v>243</v>
      </c>
      <c r="C33" s="15">
        <v>26091.425999999999</v>
      </c>
      <c r="D33" s="15" t="s">
        <v>42</v>
      </c>
      <c r="E33">
        <f t="shared" si="0"/>
        <v>-13002.085540510725</v>
      </c>
      <c r="F33">
        <f t="shared" si="1"/>
        <v>-13002</v>
      </c>
      <c r="G33">
        <f t="shared" si="2"/>
        <v>-0.17060617409879342</v>
      </c>
      <c r="H33">
        <f t="shared" si="3"/>
        <v>-0.17060617409879342</v>
      </c>
      <c r="O33">
        <f t="shared" ca="1" si="4"/>
        <v>-0.13574649225562163</v>
      </c>
      <c r="Q33" s="2">
        <f t="shared" si="5"/>
        <v>11072.925999999999</v>
      </c>
    </row>
    <row r="34" spans="1:17" x14ac:dyDescent="0.2">
      <c r="A34" t="s">
        <v>70</v>
      </c>
      <c r="B34" s="6" t="s">
        <v>243</v>
      </c>
      <c r="C34" s="15">
        <v>26095.45</v>
      </c>
      <c r="D34" s="15" t="s">
        <v>42</v>
      </c>
      <c r="E34">
        <f t="shared" si="0"/>
        <v>-13000.067940520717</v>
      </c>
      <c r="F34">
        <f t="shared" si="1"/>
        <v>-13000</v>
      </c>
      <c r="G34">
        <f t="shared" si="2"/>
        <v>-0.13550389409283525</v>
      </c>
      <c r="H34">
        <f t="shared" si="3"/>
        <v>-0.13550389409283525</v>
      </c>
      <c r="O34">
        <f t="shared" ca="1" si="4"/>
        <v>-0.13558826416762815</v>
      </c>
      <c r="Q34" s="2">
        <f t="shared" si="5"/>
        <v>11076.95</v>
      </c>
    </row>
    <row r="35" spans="1:17" x14ac:dyDescent="0.2">
      <c r="A35" t="s">
        <v>70</v>
      </c>
      <c r="B35" s="6" t="s">
        <v>243</v>
      </c>
      <c r="C35" s="15">
        <v>26113.401000000002</v>
      </c>
      <c r="D35" s="15" t="s">
        <v>42</v>
      </c>
      <c r="E35">
        <f t="shared" si="0"/>
        <v>-12991.067459054362</v>
      </c>
      <c r="F35">
        <f t="shared" si="1"/>
        <v>-12991</v>
      </c>
      <c r="G35">
        <f t="shared" si="2"/>
        <v>-0.1345436340670858</v>
      </c>
      <c r="H35">
        <f t="shared" si="3"/>
        <v>-0.1345436340670858</v>
      </c>
      <c r="O35">
        <f t="shared" ca="1" si="4"/>
        <v>-0.13487623777165758</v>
      </c>
      <c r="Q35" s="2">
        <f t="shared" si="5"/>
        <v>11094.901000000002</v>
      </c>
    </row>
    <row r="36" spans="1:17" x14ac:dyDescent="0.2">
      <c r="A36" t="s">
        <v>75</v>
      </c>
      <c r="B36" s="6" t="s">
        <v>243</v>
      </c>
      <c r="C36" s="15">
        <v>26396.510999999999</v>
      </c>
      <c r="D36" s="15" t="s">
        <v>42</v>
      </c>
      <c r="E36">
        <f t="shared" si="0"/>
        <v>-12849.11846969778</v>
      </c>
      <c r="F36">
        <f t="shared" si="1"/>
        <v>-12849</v>
      </c>
      <c r="G36">
        <f t="shared" si="2"/>
        <v>-0.23628175368139637</v>
      </c>
      <c r="H36">
        <f t="shared" si="3"/>
        <v>-0.23628175368139637</v>
      </c>
      <c r="O36">
        <f t="shared" ca="1" si="4"/>
        <v>-0.12364204352412356</v>
      </c>
      <c r="Q36" s="2">
        <f t="shared" si="5"/>
        <v>11378.010999999999</v>
      </c>
    </row>
    <row r="37" spans="1:17" x14ac:dyDescent="0.2">
      <c r="A37" t="s">
        <v>75</v>
      </c>
      <c r="B37" s="6" t="s">
        <v>243</v>
      </c>
      <c r="C37" s="15">
        <v>26414.525000000001</v>
      </c>
      <c r="D37" s="15" t="s">
        <v>42</v>
      </c>
      <c r="E37">
        <f t="shared" si="0"/>
        <v>-12840.086400557622</v>
      </c>
      <c r="F37">
        <f t="shared" si="1"/>
        <v>-12840</v>
      </c>
      <c r="G37">
        <f t="shared" si="2"/>
        <v>-0.17232149365372607</v>
      </c>
      <c r="H37">
        <f t="shared" si="3"/>
        <v>-0.17232149365372607</v>
      </c>
      <c r="O37">
        <f t="shared" ca="1" si="4"/>
        <v>-0.12293001712815299</v>
      </c>
      <c r="Q37" s="2">
        <f t="shared" si="5"/>
        <v>11396.025000000001</v>
      </c>
    </row>
    <row r="38" spans="1:17" x14ac:dyDescent="0.2">
      <c r="A38" t="s">
        <v>75</v>
      </c>
      <c r="B38" s="6" t="s">
        <v>243</v>
      </c>
      <c r="C38" s="15">
        <v>26440.478999999999</v>
      </c>
      <c r="D38" s="15" t="s">
        <v>42</v>
      </c>
      <c r="E38">
        <f t="shared" si="0"/>
        <v>-12827.073281735396</v>
      </c>
      <c r="F38">
        <f t="shared" si="1"/>
        <v>-12827</v>
      </c>
      <c r="G38">
        <f t="shared" si="2"/>
        <v>-0.14615667361795204</v>
      </c>
      <c r="H38">
        <f t="shared" si="3"/>
        <v>-0.14615667361795204</v>
      </c>
      <c r="O38">
        <f t="shared" ca="1" si="4"/>
        <v>-0.12190153455619568</v>
      </c>
      <c r="Q38" s="2">
        <f t="shared" si="5"/>
        <v>11421.978999999999</v>
      </c>
    </row>
    <row r="39" spans="1:17" x14ac:dyDescent="0.2">
      <c r="A39" t="s">
        <v>75</v>
      </c>
      <c r="B39" s="6" t="s">
        <v>243</v>
      </c>
      <c r="C39" s="15">
        <v>26448.468000000001</v>
      </c>
      <c r="D39" s="15" t="s">
        <v>42</v>
      </c>
      <c r="E39">
        <f t="shared" si="0"/>
        <v>-12823.06766386259</v>
      </c>
      <c r="F39">
        <f t="shared" si="1"/>
        <v>-12823</v>
      </c>
      <c r="G39">
        <f t="shared" si="2"/>
        <v>-0.13495211360714165</v>
      </c>
      <c r="H39">
        <f t="shared" si="3"/>
        <v>-0.13495211360714165</v>
      </c>
      <c r="O39">
        <f t="shared" ca="1" si="4"/>
        <v>-0.12158507838020893</v>
      </c>
      <c r="Q39" s="2">
        <f t="shared" si="5"/>
        <v>11429.968000000001</v>
      </c>
    </row>
    <row r="40" spans="1:17" x14ac:dyDescent="0.2">
      <c r="A40" t="s">
        <v>70</v>
      </c>
      <c r="B40" s="6" t="s">
        <v>243</v>
      </c>
      <c r="C40" s="15">
        <v>26478.406999999999</v>
      </c>
      <c r="D40" s="15" t="s">
        <v>42</v>
      </c>
      <c r="E40">
        <f t="shared" si="0"/>
        <v>-12808.056499324613</v>
      </c>
      <c r="F40">
        <f t="shared" si="1"/>
        <v>-12808</v>
      </c>
      <c r="G40">
        <f t="shared" si="2"/>
        <v>-0.11268501356607885</v>
      </c>
      <c r="H40">
        <f t="shared" si="3"/>
        <v>-0.11268501356607885</v>
      </c>
      <c r="O40">
        <f t="shared" ca="1" si="4"/>
        <v>-0.12039836772025814</v>
      </c>
      <c r="Q40" s="2">
        <f t="shared" si="5"/>
        <v>11459.906999999999</v>
      </c>
    </row>
    <row r="41" spans="1:17" x14ac:dyDescent="0.2">
      <c r="A41" t="s">
        <v>75</v>
      </c>
      <c r="B41" s="6" t="s">
        <v>243</v>
      </c>
      <c r="C41" s="15">
        <v>26769.55</v>
      </c>
      <c r="D41" s="15" t="s">
        <v>42</v>
      </c>
      <c r="E41">
        <f t="shared" si="0"/>
        <v>-12662.079830862729</v>
      </c>
      <c r="F41">
        <f t="shared" si="1"/>
        <v>-12662</v>
      </c>
      <c r="G41">
        <f t="shared" si="2"/>
        <v>-0.15921857316425303</v>
      </c>
      <c r="H41">
        <f t="shared" si="3"/>
        <v>-0.15921857316425303</v>
      </c>
      <c r="O41">
        <f t="shared" ca="1" si="4"/>
        <v>-0.10884771729673715</v>
      </c>
      <c r="Q41" s="2">
        <f t="shared" si="5"/>
        <v>11751.05</v>
      </c>
    </row>
    <row r="42" spans="1:17" x14ac:dyDescent="0.2">
      <c r="A42" t="s">
        <v>75</v>
      </c>
      <c r="B42" s="6" t="s">
        <v>243</v>
      </c>
      <c r="C42" s="15">
        <v>26823.442999999999</v>
      </c>
      <c r="D42" s="15" t="s">
        <v>42</v>
      </c>
      <c r="E42">
        <f t="shared" si="0"/>
        <v>-12635.058330797758</v>
      </c>
      <c r="F42">
        <f t="shared" si="1"/>
        <v>-12635</v>
      </c>
      <c r="G42">
        <f t="shared" si="2"/>
        <v>-0.11633779308976955</v>
      </c>
      <c r="H42">
        <f t="shared" si="3"/>
        <v>-0.11633779308976955</v>
      </c>
      <c r="O42">
        <f t="shared" ca="1" si="4"/>
        <v>-0.10671163810882567</v>
      </c>
      <c r="Q42" s="2">
        <f t="shared" si="5"/>
        <v>11804.942999999999</v>
      </c>
    </row>
    <row r="43" spans="1:17" x14ac:dyDescent="0.2">
      <c r="A43" t="s">
        <v>75</v>
      </c>
      <c r="B43" s="6" t="s">
        <v>243</v>
      </c>
      <c r="C43" s="15">
        <v>27533.476999999999</v>
      </c>
      <c r="D43" s="15" t="s">
        <v>42</v>
      </c>
      <c r="E43">
        <f t="shared" si="0"/>
        <v>-12279.053213674333</v>
      </c>
      <c r="F43">
        <f t="shared" si="1"/>
        <v>-12279</v>
      </c>
      <c r="G43">
        <f t="shared" si="2"/>
        <v>-0.10613195211044513</v>
      </c>
      <c r="H43">
        <f t="shared" si="3"/>
        <v>-0.10613195211044513</v>
      </c>
      <c r="O43">
        <f t="shared" ca="1" si="4"/>
        <v>-7.8547038445993755E-2</v>
      </c>
      <c r="Q43" s="2">
        <f t="shared" si="5"/>
        <v>12514.976999999999</v>
      </c>
    </row>
    <row r="44" spans="1:17" x14ac:dyDescent="0.2">
      <c r="A44" t="s">
        <v>75</v>
      </c>
      <c r="B44" s="6" t="s">
        <v>243</v>
      </c>
      <c r="C44" s="15">
        <v>28219.583999999999</v>
      </c>
      <c r="D44" s="15" t="s">
        <v>42</v>
      </c>
      <c r="E44">
        <f t="shared" si="0"/>
        <v>-11935.044894503419</v>
      </c>
      <c r="F44">
        <f t="shared" ref="F44:F80" si="6">ROUND(2*E44,0)/2</f>
        <v>-11935</v>
      </c>
      <c r="G44">
        <f t="shared" si="2"/>
        <v>-8.9539791162678739E-2</v>
      </c>
      <c r="H44">
        <f t="shared" si="3"/>
        <v>-8.9539791162678739E-2</v>
      </c>
      <c r="O44">
        <f t="shared" ca="1" si="4"/>
        <v>-5.1331807311122524E-2</v>
      </c>
      <c r="Q44" s="2">
        <f t="shared" si="5"/>
        <v>13201.083999999999</v>
      </c>
    </row>
    <row r="45" spans="1:17" x14ac:dyDescent="0.2">
      <c r="A45" t="s">
        <v>75</v>
      </c>
      <c r="B45" s="6" t="s">
        <v>243</v>
      </c>
      <c r="C45" s="15">
        <v>28249.487000000001</v>
      </c>
      <c r="D45" s="15" t="s">
        <v>42</v>
      </c>
      <c r="E45">
        <f t="shared" si="0"/>
        <v>-11920.051780064754</v>
      </c>
      <c r="F45">
        <f t="shared" si="6"/>
        <v>-11920</v>
      </c>
      <c r="G45">
        <f t="shared" si="2"/>
        <v>-0.10327269111803616</v>
      </c>
      <c r="H45">
        <f t="shared" si="3"/>
        <v>-0.10327269111803616</v>
      </c>
      <c r="O45">
        <f t="shared" ca="1" si="4"/>
        <v>-5.0145096651171728E-2</v>
      </c>
      <c r="Q45" s="2">
        <f t="shared" si="5"/>
        <v>13230.987000000001</v>
      </c>
    </row>
    <row r="46" spans="1:17" x14ac:dyDescent="0.2">
      <c r="A46" t="s">
        <v>128</v>
      </c>
      <c r="B46" s="6" t="s">
        <v>243</v>
      </c>
      <c r="C46" s="15">
        <v>28285.5</v>
      </c>
      <c r="D46" s="15" t="s">
        <v>42</v>
      </c>
      <c r="E46">
        <f t="shared" si="0"/>
        <v>-11901.995162659157</v>
      </c>
      <c r="F46">
        <f t="shared" si="6"/>
        <v>-11902</v>
      </c>
      <c r="G46">
        <f t="shared" si="2"/>
        <v>9.647828930610558E-3</v>
      </c>
      <c r="H46">
        <f t="shared" si="3"/>
        <v>9.647828930610558E-3</v>
      </c>
      <c r="O46">
        <f t="shared" ca="1" si="4"/>
        <v>-4.8721043859230817E-2</v>
      </c>
      <c r="Q46" s="2">
        <f t="shared" si="5"/>
        <v>13267</v>
      </c>
    </row>
    <row r="47" spans="1:17" x14ac:dyDescent="0.2">
      <c r="A47" t="s">
        <v>128</v>
      </c>
      <c r="B47" s="6" t="s">
        <v>243</v>
      </c>
      <c r="C47" s="15">
        <v>28297.465</v>
      </c>
      <c r="D47" s="15" t="s">
        <v>42</v>
      </c>
      <c r="E47">
        <f t="shared" si="0"/>
        <v>-11895.996011595431</v>
      </c>
      <c r="F47">
        <f t="shared" si="6"/>
        <v>-11896</v>
      </c>
      <c r="G47">
        <f t="shared" si="2"/>
        <v>7.9546689448761754E-3</v>
      </c>
      <c r="H47">
        <f t="shared" si="3"/>
        <v>7.9546689448761754E-3</v>
      </c>
      <c r="O47">
        <f t="shared" ca="1" si="4"/>
        <v>-4.8246359595250476E-2</v>
      </c>
      <c r="Q47" s="2">
        <f t="shared" si="5"/>
        <v>13278.965</v>
      </c>
    </row>
    <row r="48" spans="1:17" x14ac:dyDescent="0.2">
      <c r="A48" t="s">
        <v>128</v>
      </c>
      <c r="B48" s="6" t="s">
        <v>243</v>
      </c>
      <c r="C48" s="15">
        <v>28313.425999999999</v>
      </c>
      <c r="D48" s="15" t="s">
        <v>42</v>
      </c>
      <c r="E48">
        <f t="shared" si="0"/>
        <v>-11887.993299507831</v>
      </c>
      <c r="F48">
        <f t="shared" si="6"/>
        <v>-11888</v>
      </c>
      <c r="G48">
        <f t="shared" si="2"/>
        <v>1.3363788966671564E-2</v>
      </c>
      <c r="H48">
        <f t="shared" si="3"/>
        <v>1.3363788966671564E-2</v>
      </c>
      <c r="O48">
        <f t="shared" ca="1" si="4"/>
        <v>-4.7613447243276763E-2</v>
      </c>
      <c r="Q48" s="2">
        <f t="shared" si="5"/>
        <v>13294.925999999999</v>
      </c>
    </row>
    <row r="49" spans="1:17" x14ac:dyDescent="0.2">
      <c r="A49" t="s">
        <v>75</v>
      </c>
      <c r="B49" s="6" t="s">
        <v>243</v>
      </c>
      <c r="C49" s="15">
        <v>28626.469000000001</v>
      </c>
      <c r="D49" s="15" t="s">
        <v>42</v>
      </c>
      <c r="E49">
        <f t="shared" si="0"/>
        <v>-11731.036153963154</v>
      </c>
      <c r="F49">
        <f t="shared" si="6"/>
        <v>-11731</v>
      </c>
      <c r="G49">
        <f t="shared" si="2"/>
        <v>-7.2107230596884619E-2</v>
      </c>
      <c r="H49">
        <f t="shared" si="3"/>
        <v>-7.2107230596884619E-2</v>
      </c>
      <c r="O49">
        <f t="shared" ca="1" si="4"/>
        <v>-3.5192542335791832E-2</v>
      </c>
      <c r="Q49" s="2">
        <f t="shared" si="5"/>
        <v>13607.969000000001</v>
      </c>
    </row>
    <row r="50" spans="1:17" x14ac:dyDescent="0.2">
      <c r="A50" t="s">
        <v>128</v>
      </c>
      <c r="B50" s="6" t="s">
        <v>243</v>
      </c>
      <c r="C50" s="15">
        <v>28634.51</v>
      </c>
      <c r="D50" s="15" t="s">
        <v>42</v>
      </c>
      <c r="E50">
        <f t="shared" si="0"/>
        <v>-11727.004463724676</v>
      </c>
      <c r="F50">
        <f t="shared" si="6"/>
        <v>-11727</v>
      </c>
      <c r="G50">
        <f t="shared" si="2"/>
        <v>-8.9026705900323577E-3</v>
      </c>
      <c r="H50">
        <f t="shared" si="3"/>
        <v>-8.9026705900323577E-3</v>
      </c>
      <c r="O50">
        <f t="shared" ca="1" si="4"/>
        <v>-3.4876086159804975E-2</v>
      </c>
      <c r="Q50" s="2">
        <f t="shared" si="5"/>
        <v>13616.009999999998</v>
      </c>
    </row>
    <row r="51" spans="1:17" x14ac:dyDescent="0.2">
      <c r="A51" t="s">
        <v>128</v>
      </c>
      <c r="B51" s="6" t="s">
        <v>243</v>
      </c>
      <c r="C51" s="15">
        <v>28636.52</v>
      </c>
      <c r="D51" s="15" t="s">
        <v>42</v>
      </c>
      <c r="E51">
        <f t="shared" si="0"/>
        <v>-11725.996666512965</v>
      </c>
      <c r="F51">
        <f t="shared" si="6"/>
        <v>-11726</v>
      </c>
      <c r="G51">
        <f t="shared" si="2"/>
        <v>6.6484694143582601E-3</v>
      </c>
      <c r="H51">
        <f t="shared" si="3"/>
        <v>6.6484694143582601E-3</v>
      </c>
      <c r="O51">
        <f t="shared" ca="1" si="4"/>
        <v>-3.4796972115808233E-2</v>
      </c>
      <c r="Q51" s="2">
        <f t="shared" si="5"/>
        <v>13618.02</v>
      </c>
    </row>
    <row r="52" spans="1:17" x14ac:dyDescent="0.2">
      <c r="A52" t="s">
        <v>128</v>
      </c>
      <c r="B52" s="6" t="s">
        <v>243</v>
      </c>
      <c r="C52" s="15">
        <v>28638.504000000001</v>
      </c>
      <c r="D52" s="15" t="s">
        <v>42</v>
      </c>
      <c r="E52">
        <f t="shared" si="0"/>
        <v>-11725.001905484096</v>
      </c>
      <c r="F52">
        <f t="shared" si="6"/>
        <v>-11725</v>
      </c>
      <c r="G52">
        <f t="shared" si="2"/>
        <v>-3.8003905829100404E-3</v>
      </c>
      <c r="H52">
        <f t="shared" si="3"/>
        <v>-3.8003905829100404E-3</v>
      </c>
      <c r="O52">
        <f t="shared" ca="1" si="4"/>
        <v>-3.4717858071811603E-2</v>
      </c>
      <c r="Q52" s="2">
        <f t="shared" si="5"/>
        <v>13620.004000000001</v>
      </c>
    </row>
    <row r="53" spans="1:17" x14ac:dyDescent="0.2">
      <c r="A53" t="s">
        <v>75</v>
      </c>
      <c r="B53" s="6" t="s">
        <v>243</v>
      </c>
      <c r="C53" s="15">
        <v>28658.371999999999</v>
      </c>
      <c r="D53" s="15" t="s">
        <v>42</v>
      </c>
      <c r="E53">
        <f t="shared" ref="E53:E83" si="7">+(C53-C$7)/C$8</f>
        <v>-11715.04025622926</v>
      </c>
      <c r="F53">
        <f t="shared" si="6"/>
        <v>-11715</v>
      </c>
      <c r="G53">
        <f t="shared" ref="G53:G83" si="8">+C53-(C$7+F53*C$8)</f>
        <v>-8.0288990557164652E-2</v>
      </c>
      <c r="H53">
        <f t="shared" ref="H53:H71" si="9">+G53</f>
        <v>-8.0288990557164652E-2</v>
      </c>
      <c r="O53">
        <f t="shared" ref="O53:O83" ca="1" si="10">+C$11+C$12*$F53</f>
        <v>-3.3926717631844405E-2</v>
      </c>
      <c r="Q53" s="2">
        <f t="shared" ref="Q53:Q83" si="11">+C53-15018.5</f>
        <v>13639.871999999999</v>
      </c>
    </row>
    <row r="54" spans="1:17" x14ac:dyDescent="0.2">
      <c r="A54" t="s">
        <v>128</v>
      </c>
      <c r="B54" s="6" t="s">
        <v>243</v>
      </c>
      <c r="C54" s="15">
        <v>28660.465</v>
      </c>
      <c r="D54" s="15" t="s">
        <v>42</v>
      </c>
      <c r="E54">
        <f t="shared" si="7"/>
        <v>-11713.990843510799</v>
      </c>
      <c r="F54">
        <f t="shared" si="6"/>
        <v>-11714</v>
      </c>
      <c r="G54">
        <f t="shared" si="8"/>
        <v>1.8262149445945397E-2</v>
      </c>
      <c r="H54">
        <f t="shared" si="9"/>
        <v>1.8262149445945397E-2</v>
      </c>
      <c r="O54">
        <f t="shared" ca="1" si="10"/>
        <v>-3.3847603587847663E-2</v>
      </c>
      <c r="Q54" s="2">
        <f t="shared" si="11"/>
        <v>13641.965</v>
      </c>
    </row>
    <row r="55" spans="1:17" x14ac:dyDescent="0.2">
      <c r="A55" t="s">
        <v>128</v>
      </c>
      <c r="B55" s="6" t="s">
        <v>243</v>
      </c>
      <c r="C55" s="15">
        <v>28664.429</v>
      </c>
      <c r="D55" s="15" t="s">
        <v>42</v>
      </c>
      <c r="E55">
        <f t="shared" si="7"/>
        <v>-11712.003327019649</v>
      </c>
      <c r="F55">
        <f t="shared" si="6"/>
        <v>-11712</v>
      </c>
      <c r="G55">
        <f t="shared" si="8"/>
        <v>-6.6355705457681324E-3</v>
      </c>
      <c r="H55">
        <f t="shared" si="9"/>
        <v>-6.6355705457681324E-3</v>
      </c>
      <c r="O55">
        <f t="shared" ca="1" si="10"/>
        <v>-3.3689375499854179E-2</v>
      </c>
      <c r="Q55" s="2">
        <f t="shared" si="11"/>
        <v>13645.929</v>
      </c>
    </row>
    <row r="56" spans="1:17" x14ac:dyDescent="0.2">
      <c r="A56" t="s">
        <v>128</v>
      </c>
      <c r="B56" s="6" t="s">
        <v>243</v>
      </c>
      <c r="C56" s="15">
        <v>28684.383999999998</v>
      </c>
      <c r="D56" s="15" t="s">
        <v>42</v>
      </c>
      <c r="E56">
        <f t="shared" si="7"/>
        <v>-11701.998056691471</v>
      </c>
      <c r="F56">
        <f t="shared" si="6"/>
        <v>-11702</v>
      </c>
      <c r="G56">
        <f t="shared" si="8"/>
        <v>3.8758294795115944E-3</v>
      </c>
      <c r="H56">
        <f t="shared" si="9"/>
        <v>3.8758294795115944E-3</v>
      </c>
      <c r="O56">
        <f t="shared" ca="1" si="10"/>
        <v>-3.2898235059886982E-2</v>
      </c>
      <c r="Q56" s="2">
        <f t="shared" si="11"/>
        <v>13665.883999999998</v>
      </c>
    </row>
    <row r="57" spans="1:17" x14ac:dyDescent="0.2">
      <c r="A57" t="s">
        <v>128</v>
      </c>
      <c r="B57" s="6" t="s">
        <v>243</v>
      </c>
      <c r="C57" s="15">
        <v>28690.397000000001</v>
      </c>
      <c r="D57" s="15" t="s">
        <v>42</v>
      </c>
      <c r="E57">
        <f t="shared" si="7"/>
        <v>-11698.983188714355</v>
      </c>
      <c r="F57">
        <f t="shared" si="6"/>
        <v>-11699</v>
      </c>
      <c r="G57">
        <f t="shared" si="8"/>
        <v>3.3529249489220092E-2</v>
      </c>
      <c r="H57">
        <f t="shared" si="9"/>
        <v>3.3529249489220092E-2</v>
      </c>
      <c r="O57">
        <f t="shared" ca="1" si="10"/>
        <v>-3.2660892927896867E-2</v>
      </c>
      <c r="Q57" s="2">
        <f t="shared" si="11"/>
        <v>13671.897000000001</v>
      </c>
    </row>
    <row r="58" spans="1:17" x14ac:dyDescent="0.2">
      <c r="A58" t="s">
        <v>128</v>
      </c>
      <c r="B58" s="6" t="s">
        <v>243</v>
      </c>
      <c r="C58" s="15">
        <v>28692.365000000002</v>
      </c>
      <c r="D58" s="15" t="s">
        <v>42</v>
      </c>
      <c r="E58">
        <f t="shared" si="7"/>
        <v>-11697.996449951846</v>
      </c>
      <c r="F58">
        <f t="shared" si="6"/>
        <v>-11698</v>
      </c>
      <c r="G58">
        <f t="shared" si="8"/>
        <v>7.0803894923301414E-3</v>
      </c>
      <c r="H58">
        <f t="shared" si="9"/>
        <v>7.0803894923301414E-3</v>
      </c>
      <c r="O58">
        <f t="shared" ca="1" si="10"/>
        <v>-3.2581778883900125E-2</v>
      </c>
      <c r="Q58" s="2">
        <f t="shared" si="11"/>
        <v>13673.865000000002</v>
      </c>
    </row>
    <row r="59" spans="1:17" x14ac:dyDescent="0.2">
      <c r="A59" t="s">
        <v>168</v>
      </c>
      <c r="B59" s="6" t="s">
        <v>243</v>
      </c>
      <c r="C59" s="15">
        <v>28692.43</v>
      </c>
      <c r="D59" s="15" t="s">
        <v>42</v>
      </c>
      <c r="E59">
        <f t="shared" si="7"/>
        <v>-11697.963859494752</v>
      </c>
      <c r="F59">
        <f t="shared" si="6"/>
        <v>-11698</v>
      </c>
      <c r="G59">
        <f t="shared" si="8"/>
        <v>7.2080389491020469E-2</v>
      </c>
      <c r="H59">
        <f t="shared" si="9"/>
        <v>7.2080389491020469E-2</v>
      </c>
      <c r="O59">
        <f t="shared" ca="1" si="10"/>
        <v>-3.2581778883900125E-2</v>
      </c>
      <c r="Q59" s="2">
        <f t="shared" si="11"/>
        <v>13673.93</v>
      </c>
    </row>
    <row r="60" spans="1:17" x14ac:dyDescent="0.2">
      <c r="A60" t="s">
        <v>128</v>
      </c>
      <c r="B60" s="6" t="s">
        <v>243</v>
      </c>
      <c r="C60" s="15">
        <v>28694.341</v>
      </c>
      <c r="D60" s="15" t="s">
        <v>42</v>
      </c>
      <c r="E60">
        <f t="shared" si="7"/>
        <v>-11697.005700056157</v>
      </c>
      <c r="F60">
        <f t="shared" si="6"/>
        <v>-11697</v>
      </c>
      <c r="G60">
        <f t="shared" si="8"/>
        <v>-1.1368470506567974E-2</v>
      </c>
      <c r="H60">
        <f t="shared" si="9"/>
        <v>-1.1368470506567974E-2</v>
      </c>
      <c r="O60">
        <f t="shared" ca="1" si="10"/>
        <v>-3.2502664839903384E-2</v>
      </c>
      <c r="Q60" s="2">
        <f t="shared" si="11"/>
        <v>13675.841</v>
      </c>
    </row>
    <row r="61" spans="1:17" x14ac:dyDescent="0.2">
      <c r="A61" t="s">
        <v>75</v>
      </c>
      <c r="B61" s="6" t="s">
        <v>243</v>
      </c>
      <c r="C61" s="15">
        <v>28951.544000000002</v>
      </c>
      <c r="D61" s="15" t="s">
        <v>42</v>
      </c>
      <c r="E61">
        <f t="shared" si="7"/>
        <v>-11568.046264114362</v>
      </c>
      <c r="F61">
        <f t="shared" si="6"/>
        <v>-11568</v>
      </c>
      <c r="G61">
        <f t="shared" si="8"/>
        <v>-9.2271410147077404E-2</v>
      </c>
      <c r="H61">
        <f t="shared" si="9"/>
        <v>-9.2271410147077404E-2</v>
      </c>
      <c r="O61">
        <f t="shared" ca="1" si="10"/>
        <v>-2.2296953164326672E-2</v>
      </c>
      <c r="Q61" s="2">
        <f t="shared" si="11"/>
        <v>13933.044000000002</v>
      </c>
    </row>
    <row r="62" spans="1:17" x14ac:dyDescent="0.2">
      <c r="A62" t="s">
        <v>75</v>
      </c>
      <c r="B62" s="6" t="s">
        <v>243</v>
      </c>
      <c r="C62" s="15">
        <v>28953.550999999999</v>
      </c>
      <c r="D62" s="15" t="s">
        <v>42</v>
      </c>
      <c r="E62">
        <f t="shared" si="7"/>
        <v>-11567.039971077598</v>
      </c>
      <c r="F62">
        <f t="shared" si="6"/>
        <v>-11567</v>
      </c>
      <c r="G62">
        <f t="shared" si="8"/>
        <v>-7.9720270146935945E-2</v>
      </c>
      <c r="H62">
        <f t="shared" si="9"/>
        <v>-7.9720270146935945E-2</v>
      </c>
      <c r="O62">
        <f t="shared" ca="1" si="10"/>
        <v>-2.221783912032993E-2</v>
      </c>
      <c r="Q62" s="2">
        <f t="shared" si="11"/>
        <v>13935.050999999999</v>
      </c>
    </row>
    <row r="63" spans="1:17" x14ac:dyDescent="0.2">
      <c r="A63" t="s">
        <v>75</v>
      </c>
      <c r="B63" s="6" t="s">
        <v>243</v>
      </c>
      <c r="C63" s="15">
        <v>29007.427</v>
      </c>
      <c r="D63" s="15" t="s">
        <v>42</v>
      </c>
      <c r="E63">
        <f t="shared" si="7"/>
        <v>-11540.026994670634</v>
      </c>
      <c r="F63">
        <f t="shared" si="6"/>
        <v>-11540</v>
      </c>
      <c r="G63">
        <f t="shared" si="8"/>
        <v>-5.383949007227784E-2</v>
      </c>
      <c r="H63">
        <f t="shared" si="9"/>
        <v>-5.383949007227784E-2</v>
      </c>
      <c r="O63">
        <f t="shared" ca="1" si="10"/>
        <v>-2.0081759932418564E-2</v>
      </c>
      <c r="Q63" s="2">
        <f t="shared" si="11"/>
        <v>13988.927</v>
      </c>
    </row>
    <row r="64" spans="1:17" x14ac:dyDescent="0.2">
      <c r="A64" t="s">
        <v>75</v>
      </c>
      <c r="B64" s="6" t="s">
        <v>243</v>
      </c>
      <c r="C64" s="15">
        <v>29374.440999999999</v>
      </c>
      <c r="D64" s="15" t="s">
        <v>42</v>
      </c>
      <c r="E64">
        <f t="shared" si="7"/>
        <v>-11356.009240512472</v>
      </c>
      <c r="F64">
        <f t="shared" si="6"/>
        <v>-11356</v>
      </c>
      <c r="G64">
        <f t="shared" si="8"/>
        <v>-1.8429729567287723E-2</v>
      </c>
      <c r="H64">
        <f t="shared" si="9"/>
        <v>-1.8429729567287723E-2</v>
      </c>
      <c r="O64">
        <f t="shared" ca="1" si="10"/>
        <v>-5.5247758370222666E-3</v>
      </c>
      <c r="Q64" s="2">
        <f t="shared" si="11"/>
        <v>14355.940999999999</v>
      </c>
    </row>
    <row r="65" spans="1:17" x14ac:dyDescent="0.2">
      <c r="A65" t="s">
        <v>75</v>
      </c>
      <c r="B65" s="6" t="s">
        <v>243</v>
      </c>
      <c r="C65" s="15">
        <v>29376.442999999999</v>
      </c>
      <c r="D65" s="15" t="s">
        <v>42</v>
      </c>
      <c r="E65">
        <f t="shared" si="7"/>
        <v>-11355.005454433945</v>
      </c>
      <c r="F65">
        <f t="shared" si="6"/>
        <v>-11355</v>
      </c>
      <c r="G65">
        <f t="shared" si="8"/>
        <v>-1.0878589564526919E-2</v>
      </c>
      <c r="H65">
        <f t="shared" si="9"/>
        <v>-1.0878589564526919E-2</v>
      </c>
      <c r="O65">
        <f t="shared" ca="1" si="10"/>
        <v>-5.4456617930255247E-3</v>
      </c>
      <c r="Q65" s="2">
        <f t="shared" si="11"/>
        <v>14357.942999999999</v>
      </c>
    </row>
    <row r="66" spans="1:17" x14ac:dyDescent="0.2">
      <c r="A66" t="s">
        <v>75</v>
      </c>
      <c r="B66" s="6" t="s">
        <v>243</v>
      </c>
      <c r="C66" s="15">
        <v>29400.415000000001</v>
      </c>
      <c r="D66" s="15" t="s">
        <v>42</v>
      </c>
      <c r="E66">
        <f t="shared" si="7"/>
        <v>-11342.986093857293</v>
      </c>
      <c r="F66">
        <f t="shared" si="6"/>
        <v>-11343</v>
      </c>
      <c r="G66">
        <f t="shared" si="8"/>
        <v>2.7735090468922863E-2</v>
      </c>
      <c r="H66">
        <f t="shared" si="9"/>
        <v>2.7735090468922863E-2</v>
      </c>
      <c r="O66">
        <f t="shared" ca="1" si="10"/>
        <v>-4.4962932650649545E-3</v>
      </c>
      <c r="Q66" s="2">
        <f t="shared" si="11"/>
        <v>14381.915000000001</v>
      </c>
    </row>
    <row r="67" spans="1:17" x14ac:dyDescent="0.2">
      <c r="A67" t="s">
        <v>193</v>
      </c>
      <c r="B67" s="6" t="s">
        <v>243</v>
      </c>
      <c r="C67" s="15">
        <v>29442.272000000001</v>
      </c>
      <c r="D67" s="15" t="s">
        <v>42</v>
      </c>
      <c r="E67">
        <f t="shared" si="7"/>
        <v>-11321.999343663027</v>
      </c>
      <c r="F67">
        <f t="shared" si="6"/>
        <v>-11322</v>
      </c>
      <c r="G67">
        <f t="shared" si="8"/>
        <v>1.3090305292280391E-3</v>
      </c>
      <c r="H67">
        <f t="shared" si="9"/>
        <v>1.3090305292280391E-3</v>
      </c>
      <c r="O67">
        <f t="shared" ca="1" si="10"/>
        <v>-2.834898341133818E-3</v>
      </c>
      <c r="Q67" s="2">
        <f t="shared" si="11"/>
        <v>14423.772000000001</v>
      </c>
    </row>
    <row r="68" spans="1:17" x14ac:dyDescent="0.2">
      <c r="A68" t="s">
        <v>75</v>
      </c>
      <c r="B68" s="6" t="s">
        <v>243</v>
      </c>
      <c r="C68" s="15">
        <v>29727.499</v>
      </c>
      <c r="D68" s="15" t="s">
        <v>42</v>
      </c>
      <c r="E68">
        <f t="shared" si="7"/>
        <v>-11178.988908188439</v>
      </c>
      <c r="F68">
        <f t="shared" si="6"/>
        <v>-11179</v>
      </c>
      <c r="G68">
        <f t="shared" si="8"/>
        <v>2.212205091927899E-2</v>
      </c>
      <c r="H68">
        <f t="shared" si="9"/>
        <v>2.212205091927899E-2</v>
      </c>
      <c r="O68">
        <f t="shared" ca="1" si="10"/>
        <v>8.4784099503969479E-3</v>
      </c>
      <c r="Q68" s="2">
        <f t="shared" si="11"/>
        <v>14708.999</v>
      </c>
    </row>
    <row r="69" spans="1:17" x14ac:dyDescent="0.2">
      <c r="A69" t="s">
        <v>75</v>
      </c>
      <c r="B69" s="6" t="s">
        <v>243</v>
      </c>
      <c r="C69" s="15">
        <v>29747.428</v>
      </c>
      <c r="D69" s="15" t="s">
        <v>42</v>
      </c>
      <c r="E69">
        <f t="shared" si="7"/>
        <v>-11168.996674043099</v>
      </c>
      <c r="F69">
        <f t="shared" si="6"/>
        <v>-11169</v>
      </c>
      <c r="G69">
        <f t="shared" si="8"/>
        <v>6.6334509501757566E-3</v>
      </c>
      <c r="H69">
        <f t="shared" si="9"/>
        <v>6.6334509501757566E-3</v>
      </c>
      <c r="O69">
        <f t="shared" ca="1" si="10"/>
        <v>9.2695503903641452E-3</v>
      </c>
      <c r="Q69" s="2">
        <f t="shared" si="11"/>
        <v>14728.928</v>
      </c>
    </row>
    <row r="70" spans="1:17" x14ac:dyDescent="0.2">
      <c r="A70" t="s">
        <v>12</v>
      </c>
      <c r="B70" s="6"/>
      <c r="C70" s="15">
        <v>30020.667000000001</v>
      </c>
      <c r="D70" s="15" t="s">
        <v>14</v>
      </c>
      <c r="E70">
        <f t="shared" si="7"/>
        <v>-11031.996921640133</v>
      </c>
      <c r="F70">
        <f t="shared" si="6"/>
        <v>-11032</v>
      </c>
      <c r="G70">
        <f t="shared" si="8"/>
        <v>6.1396313285513315E-3</v>
      </c>
      <c r="H70">
        <f t="shared" si="9"/>
        <v>6.1396313285513315E-3</v>
      </c>
      <c r="O70">
        <f t="shared" ca="1" si="10"/>
        <v>2.010817441791457E-2</v>
      </c>
      <c r="Q70" s="2">
        <f t="shared" si="11"/>
        <v>15002.167000000001</v>
      </c>
    </row>
    <row r="71" spans="1:17" x14ac:dyDescent="0.2">
      <c r="A71" t="s">
        <v>75</v>
      </c>
      <c r="B71" s="6" t="s">
        <v>243</v>
      </c>
      <c r="C71" s="15">
        <v>30377.651000000002</v>
      </c>
      <c r="D71" s="15" t="s">
        <v>42</v>
      </c>
      <c r="E71">
        <f t="shared" si="7"/>
        <v>-10853.00812570756</v>
      </c>
      <c r="F71">
        <f t="shared" si="6"/>
        <v>-10853</v>
      </c>
      <c r="G71">
        <f t="shared" si="8"/>
        <v>-1.6206308180699125E-2</v>
      </c>
      <c r="H71">
        <f t="shared" si="9"/>
        <v>-1.6206308180699125E-2</v>
      </c>
      <c r="O71">
        <f t="shared" ca="1" si="10"/>
        <v>3.4269588293327269E-2</v>
      </c>
      <c r="Q71" s="2">
        <f t="shared" si="11"/>
        <v>15359.151000000002</v>
      </c>
    </row>
    <row r="72" spans="1:17" x14ac:dyDescent="0.2">
      <c r="A72" t="s">
        <v>75</v>
      </c>
      <c r="B72" s="6" t="s">
        <v>243</v>
      </c>
      <c r="C72" s="15">
        <v>30431.578000000001</v>
      </c>
      <c r="D72" s="15" t="s">
        <v>42</v>
      </c>
      <c r="E72">
        <f t="shared" si="7"/>
        <v>-10825.969578326569</v>
      </c>
      <c r="F72">
        <f t="shared" si="6"/>
        <v>-10826</v>
      </c>
      <c r="G72">
        <f t="shared" si="8"/>
        <v>6.0674471893435111E-2</v>
      </c>
      <c r="I72">
        <f t="shared" ref="I72:I83" si="12">+G72</f>
        <v>6.0674471893435111E-2</v>
      </c>
      <c r="O72">
        <f t="shared" ca="1" si="10"/>
        <v>3.6405667481238746E-2</v>
      </c>
      <c r="Q72" s="2">
        <f t="shared" si="11"/>
        <v>15413.078000000001</v>
      </c>
    </row>
    <row r="73" spans="1:17" x14ac:dyDescent="0.2">
      <c r="A73" t="s">
        <v>75</v>
      </c>
      <c r="B73" s="6" t="s">
        <v>243</v>
      </c>
      <c r="C73" s="15">
        <v>30457.491000000002</v>
      </c>
      <c r="D73" s="15" t="s">
        <v>42</v>
      </c>
      <c r="E73">
        <f t="shared" si="7"/>
        <v>-10812.977016561894</v>
      </c>
      <c r="F73">
        <f t="shared" si="6"/>
        <v>-10813</v>
      </c>
      <c r="G73">
        <f t="shared" si="8"/>
        <v>4.5839291931770276E-2</v>
      </c>
      <c r="I73">
        <f t="shared" si="12"/>
        <v>4.5839291931770276E-2</v>
      </c>
      <c r="O73">
        <f t="shared" ca="1" si="10"/>
        <v>3.7434150053196058E-2</v>
      </c>
      <c r="Q73" s="2">
        <f t="shared" si="11"/>
        <v>15438.991000000002</v>
      </c>
    </row>
    <row r="74" spans="1:17" x14ac:dyDescent="0.2">
      <c r="A74" t="s">
        <v>75</v>
      </c>
      <c r="B74" s="6" t="s">
        <v>243</v>
      </c>
      <c r="C74" s="15">
        <v>30461.451000000001</v>
      </c>
      <c r="D74" s="15" t="s">
        <v>42</v>
      </c>
      <c r="E74">
        <f t="shared" si="7"/>
        <v>-10810.991505637334</v>
      </c>
      <c r="F74">
        <f t="shared" si="6"/>
        <v>-10811</v>
      </c>
      <c r="G74">
        <f t="shared" si="8"/>
        <v>1.6941571935603861E-2</v>
      </c>
      <c r="I74">
        <f t="shared" si="12"/>
        <v>1.6941571935603861E-2</v>
      </c>
      <c r="O74">
        <f t="shared" ca="1" si="10"/>
        <v>3.7592378141189431E-2</v>
      </c>
      <c r="Q74" s="2">
        <f t="shared" si="11"/>
        <v>15442.951000000001</v>
      </c>
    </row>
    <row r="75" spans="1:17" x14ac:dyDescent="0.2">
      <c r="A75" t="s">
        <v>75</v>
      </c>
      <c r="B75" s="6" t="s">
        <v>243</v>
      </c>
      <c r="C75" s="15">
        <v>30465.428</v>
      </c>
      <c r="D75" s="15" t="s">
        <v>42</v>
      </c>
      <c r="E75">
        <f t="shared" si="7"/>
        <v>-10808.997471054765</v>
      </c>
      <c r="F75">
        <f t="shared" si="6"/>
        <v>-10809</v>
      </c>
      <c r="G75">
        <f t="shared" si="8"/>
        <v>5.0438519392628223E-3</v>
      </c>
      <c r="I75">
        <f t="shared" si="12"/>
        <v>5.0438519392628223E-3</v>
      </c>
      <c r="O75">
        <f t="shared" ca="1" si="10"/>
        <v>3.7750606229182915E-2</v>
      </c>
      <c r="Q75" s="2">
        <f t="shared" si="11"/>
        <v>15446.928</v>
      </c>
    </row>
    <row r="76" spans="1:17" x14ac:dyDescent="0.2">
      <c r="A76" t="s">
        <v>75</v>
      </c>
      <c r="B76" s="6" t="s">
        <v>243</v>
      </c>
      <c r="C76" s="15">
        <v>30784.569</v>
      </c>
      <c r="D76" s="15" t="s">
        <v>42</v>
      </c>
      <c r="E76">
        <f t="shared" si="7"/>
        <v>-10648.982839242928</v>
      </c>
      <c r="F76">
        <f t="shared" si="6"/>
        <v>-10649</v>
      </c>
      <c r="G76">
        <f t="shared" si="8"/>
        <v>3.4226252380904043E-2</v>
      </c>
      <c r="I76">
        <f t="shared" si="12"/>
        <v>3.4226252380904043E-2</v>
      </c>
      <c r="O76">
        <f t="shared" ca="1" si="10"/>
        <v>5.040885326865796E-2</v>
      </c>
      <c r="Q76" s="2">
        <f t="shared" si="11"/>
        <v>15766.069</v>
      </c>
    </row>
    <row r="77" spans="1:17" x14ac:dyDescent="0.2">
      <c r="A77" t="s">
        <v>75</v>
      </c>
      <c r="B77" s="6" t="s">
        <v>243</v>
      </c>
      <c r="C77" s="15">
        <v>30792.562999999998</v>
      </c>
      <c r="D77" s="15" t="s">
        <v>42</v>
      </c>
      <c r="E77">
        <f t="shared" si="7"/>
        <v>-10644.974714411885</v>
      </c>
      <c r="F77">
        <f t="shared" si="6"/>
        <v>-10645</v>
      </c>
      <c r="G77">
        <f t="shared" si="8"/>
        <v>5.0430812389095081E-2</v>
      </c>
      <c r="I77">
        <f t="shared" si="12"/>
        <v>5.0430812389095081E-2</v>
      </c>
      <c r="O77">
        <f t="shared" ca="1" si="10"/>
        <v>5.0725309444644817E-2</v>
      </c>
      <c r="Q77" s="2">
        <f t="shared" si="11"/>
        <v>15774.062999999998</v>
      </c>
    </row>
    <row r="78" spans="1:17" x14ac:dyDescent="0.2">
      <c r="A78" t="s">
        <v>75</v>
      </c>
      <c r="B78" s="6" t="s">
        <v>243</v>
      </c>
      <c r="C78" s="15">
        <v>30818.506000000001</v>
      </c>
      <c r="D78" s="15" t="s">
        <v>42</v>
      </c>
      <c r="E78">
        <f t="shared" si="7"/>
        <v>-10631.96711089778</v>
      </c>
      <c r="F78">
        <f t="shared" si="6"/>
        <v>-10632</v>
      </c>
      <c r="G78">
        <f t="shared" si="8"/>
        <v>6.5595632429904072E-2</v>
      </c>
      <c r="I78">
        <f t="shared" si="12"/>
        <v>6.5595632429904072E-2</v>
      </c>
      <c r="O78">
        <f t="shared" ca="1" si="10"/>
        <v>5.1753792016602129E-2</v>
      </c>
      <c r="Q78" s="2">
        <f t="shared" si="11"/>
        <v>15800.006000000001</v>
      </c>
    </row>
    <row r="79" spans="1:17" x14ac:dyDescent="0.2">
      <c r="A79" t="s">
        <v>75</v>
      </c>
      <c r="B79" s="6" t="s">
        <v>243</v>
      </c>
      <c r="C79" s="15">
        <v>30820.455000000002</v>
      </c>
      <c r="D79" s="15" t="s">
        <v>42</v>
      </c>
      <c r="E79">
        <f t="shared" si="7"/>
        <v>-10630.989898576576</v>
      </c>
      <c r="F79">
        <f t="shared" si="6"/>
        <v>-10631</v>
      </c>
      <c r="G79">
        <f t="shared" si="8"/>
        <v>2.014677243278129E-2</v>
      </c>
      <c r="I79">
        <f t="shared" si="12"/>
        <v>2.014677243278129E-2</v>
      </c>
      <c r="O79">
        <f t="shared" ca="1" si="10"/>
        <v>5.1832906060598871E-2</v>
      </c>
      <c r="Q79" s="2">
        <f t="shared" si="11"/>
        <v>15801.955000000002</v>
      </c>
    </row>
    <row r="80" spans="1:17" x14ac:dyDescent="0.2">
      <c r="A80" s="43" t="s">
        <v>75</v>
      </c>
      <c r="B80" s="44" t="s">
        <v>243</v>
      </c>
      <c r="C80" s="45">
        <v>30848.409</v>
      </c>
      <c r="D80" s="45" t="s">
        <v>42</v>
      </c>
      <c r="E80">
        <f t="shared" si="7"/>
        <v>-10616.973996459117</v>
      </c>
      <c r="F80">
        <f t="shared" si="6"/>
        <v>-10617</v>
      </c>
      <c r="G80">
        <f t="shared" si="8"/>
        <v>5.1862732467270689E-2</v>
      </c>
      <c r="I80">
        <f t="shared" si="12"/>
        <v>5.1862732467270689E-2</v>
      </c>
      <c r="O80">
        <f t="shared" ca="1" si="10"/>
        <v>5.2940502676552925E-2</v>
      </c>
      <c r="Q80" s="2">
        <f t="shared" si="11"/>
        <v>15829.909</v>
      </c>
    </row>
    <row r="81" spans="1:17" x14ac:dyDescent="0.2">
      <c r="A81" s="43" t="s">
        <v>234</v>
      </c>
      <c r="B81" s="44" t="s">
        <v>244</v>
      </c>
      <c r="C81" s="45">
        <v>51642.483999999997</v>
      </c>
      <c r="D81" s="45" t="s">
        <v>42</v>
      </c>
      <c r="E81">
        <f t="shared" si="7"/>
        <v>-190.99847155710964</v>
      </c>
      <c r="F81" s="42">
        <f>ROUND(2*E81,0)/2-0.5</f>
        <v>-191.5</v>
      </c>
      <c r="G81">
        <f t="shared" si="8"/>
        <v>1.0002728311810642</v>
      </c>
      <c r="I81">
        <f t="shared" si="12"/>
        <v>1.0002728311810642</v>
      </c>
      <c r="O81">
        <f t="shared" ca="1" si="10"/>
        <v>0.87774396836434532</v>
      </c>
      <c r="Q81" s="2">
        <f t="shared" si="11"/>
        <v>36623.983999999997</v>
      </c>
    </row>
    <row r="82" spans="1:17" x14ac:dyDescent="0.2">
      <c r="A82" t="s">
        <v>239</v>
      </c>
      <c r="B82" s="6" t="s">
        <v>244</v>
      </c>
      <c r="C82" s="15">
        <v>52019.417000000001</v>
      </c>
      <c r="D82" s="15" t="s">
        <v>42</v>
      </c>
      <c r="E82">
        <f t="shared" si="7"/>
        <v>-2.0074136462414378</v>
      </c>
      <c r="F82" s="42">
        <f>ROUND(2*E82,0)/2-0.5</f>
        <v>-2.5</v>
      </c>
      <c r="G82">
        <f t="shared" si="8"/>
        <v>0.98243829170678509</v>
      </c>
      <c r="I82">
        <f t="shared" si="12"/>
        <v>0.98243829170678509</v>
      </c>
      <c r="O82">
        <f t="shared" ca="1" si="10"/>
        <v>0.89269652267972521</v>
      </c>
      <c r="Q82" s="2">
        <f t="shared" si="11"/>
        <v>37000.917000000001</v>
      </c>
    </row>
    <row r="83" spans="1:17" x14ac:dyDescent="0.2">
      <c r="A83" t="s">
        <v>239</v>
      </c>
      <c r="B83" s="6" t="s">
        <v>244</v>
      </c>
      <c r="C83" s="15">
        <v>52023.402999999998</v>
      </c>
      <c r="D83" s="15" t="s">
        <v>42</v>
      </c>
      <c r="E83">
        <f t="shared" si="7"/>
        <v>-8.8665388452362302E-3</v>
      </c>
      <c r="F83" s="42">
        <f>ROUND(2*E83,0)/2-0.5</f>
        <v>-0.5</v>
      </c>
      <c r="G83">
        <f t="shared" si="8"/>
        <v>0.97954057170863962</v>
      </c>
      <c r="I83">
        <f t="shared" si="12"/>
        <v>0.97954057170863962</v>
      </c>
      <c r="O83">
        <f t="shared" ca="1" si="10"/>
        <v>0.8928547507677187</v>
      </c>
      <c r="Q83" s="2">
        <f t="shared" si="11"/>
        <v>37004.902999999998</v>
      </c>
    </row>
    <row r="84" spans="1:17" x14ac:dyDescent="0.2">
      <c r="A84" s="49" t="s">
        <v>257</v>
      </c>
      <c r="B84" s="50" t="s">
        <v>243</v>
      </c>
      <c r="C84" s="51">
        <v>59616.257699999958</v>
      </c>
      <c r="D84" s="15"/>
      <c r="E84">
        <f t="shared" ref="E84" si="13">+(C84-C$7)/C$8</f>
        <v>3806.9850616035114</v>
      </c>
      <c r="F84" s="42">
        <f>ROUND(2*E84,0)/2-0.5</f>
        <v>3806.5</v>
      </c>
      <c r="G84">
        <f t="shared" ref="G84" si="14">+C84-(C$7+F84*C$8)</f>
        <v>0.9674305621520034</v>
      </c>
      <c r="K84">
        <f>+G84</f>
        <v>0.9674305621520034</v>
      </c>
      <c r="O84">
        <f t="shared" ref="O84" ca="1" si="15">+C$11+C$12*$F84</f>
        <v>1.1940419162632274</v>
      </c>
      <c r="Q84" s="2">
        <f t="shared" ref="Q84" si="16">+C84-15018.5</f>
        <v>44597.757699999958</v>
      </c>
    </row>
    <row r="85" spans="1:17" x14ac:dyDescent="0.2">
      <c r="B85" s="6"/>
      <c r="C85" s="15"/>
      <c r="D85" s="15"/>
    </row>
    <row r="86" spans="1:17" x14ac:dyDescent="0.2">
      <c r="B86" s="6"/>
      <c r="C86" s="15"/>
      <c r="D86" s="15"/>
    </row>
    <row r="87" spans="1:17" x14ac:dyDescent="0.2">
      <c r="B87" s="6"/>
      <c r="C87" s="15"/>
      <c r="D87" s="15"/>
    </row>
    <row r="88" spans="1:17" x14ac:dyDescent="0.2">
      <c r="B88" s="6"/>
      <c r="C88" s="15"/>
      <c r="D88" s="15"/>
    </row>
    <row r="89" spans="1:17" x14ac:dyDescent="0.2">
      <c r="B89" s="6"/>
      <c r="C89" s="15"/>
      <c r="D89" s="15"/>
    </row>
    <row r="90" spans="1:17" x14ac:dyDescent="0.2">
      <c r="B90" s="6"/>
      <c r="C90" s="15"/>
      <c r="D90" s="15"/>
    </row>
    <row r="91" spans="1:17" x14ac:dyDescent="0.2">
      <c r="B91" s="6"/>
      <c r="C91" s="15"/>
      <c r="D91" s="15"/>
    </row>
    <row r="92" spans="1:17" x14ac:dyDescent="0.2">
      <c r="B92" s="6"/>
      <c r="C92" s="15"/>
      <c r="D92" s="15"/>
    </row>
    <row r="93" spans="1:17" x14ac:dyDescent="0.2">
      <c r="B93" s="6"/>
      <c r="C93" s="15"/>
      <c r="D93" s="15"/>
    </row>
    <row r="94" spans="1:17" x14ac:dyDescent="0.2">
      <c r="B94" s="6"/>
      <c r="C94" s="15"/>
      <c r="D94" s="15"/>
    </row>
    <row r="95" spans="1:17" x14ac:dyDescent="0.2">
      <c r="B95" s="6"/>
      <c r="C95" s="15"/>
      <c r="D95" s="15"/>
    </row>
    <row r="96" spans="1:17" x14ac:dyDescent="0.2">
      <c r="B96" s="6"/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5"/>
  <sheetViews>
    <sheetView topLeftCell="A25" workbookViewId="0">
      <selection activeCell="A11" sqref="A11:D72"/>
    </sheetView>
  </sheetViews>
  <sheetFormatPr defaultRowHeight="12.75" x14ac:dyDescent="0.2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16" t="s">
        <v>32</v>
      </c>
      <c r="I1" s="18" t="s">
        <v>33</v>
      </c>
      <c r="J1" s="19" t="s">
        <v>34</v>
      </c>
    </row>
    <row r="2" spans="1:16" x14ac:dyDescent="0.2">
      <c r="I2" s="20" t="s">
        <v>35</v>
      </c>
      <c r="J2" s="21" t="s">
        <v>36</v>
      </c>
    </row>
    <row r="3" spans="1:16" x14ac:dyDescent="0.2">
      <c r="A3" s="22" t="s">
        <v>37</v>
      </c>
      <c r="I3" s="20" t="s">
        <v>38</v>
      </c>
      <c r="J3" s="21" t="s">
        <v>39</v>
      </c>
    </row>
    <row r="4" spans="1:16" x14ac:dyDescent="0.2">
      <c r="I4" s="20" t="s">
        <v>40</v>
      </c>
      <c r="J4" s="21" t="s">
        <v>39</v>
      </c>
    </row>
    <row r="5" spans="1:16" ht="13.5" thickBot="1" x14ac:dyDescent="0.25">
      <c r="I5" s="23" t="s">
        <v>41</v>
      </c>
      <c r="J5" s="24" t="s">
        <v>42</v>
      </c>
    </row>
    <row r="10" spans="1:16" ht="13.5" thickBot="1" x14ac:dyDescent="0.25"/>
    <row r="11" spans="1:16" ht="12.75" customHeight="1" thickBot="1" x14ac:dyDescent="0.25">
      <c r="A11" s="15" t="str">
        <f t="shared" ref="A11:A72" si="0">P11</f>
        <v> RWAR 43.5 </v>
      </c>
      <c r="B11" s="6" t="str">
        <f t="shared" ref="B11:B72" si="1">IF(H11=INT(H11),"I","II")</f>
        <v>I</v>
      </c>
      <c r="C11" s="15">
        <f t="shared" ref="C11:C72" si="2">1*G11</f>
        <v>24286.400000000001</v>
      </c>
      <c r="D11" s="17" t="str">
        <f t="shared" ref="D11:D72" si="3">VLOOKUP(F11,I$1:J$5,2,FALSE)</f>
        <v>vis</v>
      </c>
      <c r="E11" s="25">
        <f>VLOOKUP(C11,'Active 1'!C$21:E$973,3,FALSE)</f>
        <v>-2874.3192982456139</v>
      </c>
      <c r="F11" s="6" t="s">
        <v>41</v>
      </c>
      <c r="G11" s="17" t="str">
        <f t="shared" ref="G11:G72" si="4">MID(I11,3,LEN(I11)-3)</f>
        <v>24286.40</v>
      </c>
      <c r="H11" s="15">
        <f t="shared" ref="H11:H72" si="5">1*K11</f>
        <v>-2875</v>
      </c>
      <c r="I11" s="26" t="s">
        <v>44</v>
      </c>
      <c r="J11" s="27" t="s">
        <v>45</v>
      </c>
      <c r="K11" s="26">
        <v>-2875</v>
      </c>
      <c r="L11" s="26" t="s">
        <v>46</v>
      </c>
      <c r="M11" s="27" t="s">
        <v>47</v>
      </c>
      <c r="N11" s="27"/>
      <c r="O11" s="28" t="s">
        <v>48</v>
      </c>
      <c r="P11" s="28" t="s">
        <v>49</v>
      </c>
    </row>
    <row r="12" spans="1:16" ht="12.75" customHeight="1" thickBot="1" x14ac:dyDescent="0.25">
      <c r="A12" s="15" t="str">
        <f t="shared" si="0"/>
        <v> RWAR 43.5 </v>
      </c>
      <c r="B12" s="6" t="str">
        <f t="shared" si="1"/>
        <v>I</v>
      </c>
      <c r="C12" s="15">
        <f t="shared" si="2"/>
        <v>24288.422999999999</v>
      </c>
      <c r="D12" s="17" t="str">
        <f t="shared" si="3"/>
        <v>vis</v>
      </c>
      <c r="E12" s="25">
        <f>VLOOKUP(C12,'Active 1'!C$21:E$973,3,FALSE)</f>
        <v>-2873.3052631578958</v>
      </c>
      <c r="F12" s="6" t="s">
        <v>41</v>
      </c>
      <c r="G12" s="17" t="str">
        <f t="shared" si="4"/>
        <v>24288.423</v>
      </c>
      <c r="H12" s="15">
        <f t="shared" si="5"/>
        <v>-2874</v>
      </c>
      <c r="I12" s="26" t="s">
        <v>50</v>
      </c>
      <c r="J12" s="27" t="s">
        <v>51</v>
      </c>
      <c r="K12" s="26">
        <v>-2874</v>
      </c>
      <c r="L12" s="26" t="s">
        <v>52</v>
      </c>
      <c r="M12" s="27" t="s">
        <v>47</v>
      </c>
      <c r="N12" s="27"/>
      <c r="O12" s="28" t="s">
        <v>48</v>
      </c>
      <c r="P12" s="28" t="s">
        <v>49</v>
      </c>
    </row>
    <row r="13" spans="1:16" ht="12.75" customHeight="1" thickBot="1" x14ac:dyDescent="0.25">
      <c r="A13" s="15" t="str">
        <f t="shared" si="0"/>
        <v> RWAR 43.5 </v>
      </c>
      <c r="B13" s="6" t="str">
        <f t="shared" si="1"/>
        <v>I</v>
      </c>
      <c r="C13" s="15">
        <f t="shared" si="2"/>
        <v>24302.386999999999</v>
      </c>
      <c r="D13" s="17" t="str">
        <f t="shared" si="3"/>
        <v>vis</v>
      </c>
      <c r="E13" s="25">
        <f>VLOOKUP(C13,'Active 1'!C$21:E$973,3,FALSE)</f>
        <v>-2866.3057644110286</v>
      </c>
      <c r="F13" s="6" t="s">
        <v>41</v>
      </c>
      <c r="G13" s="17" t="str">
        <f t="shared" si="4"/>
        <v>24302.387</v>
      </c>
      <c r="H13" s="15">
        <f t="shared" si="5"/>
        <v>-2867</v>
      </c>
      <c r="I13" s="26" t="s">
        <v>53</v>
      </c>
      <c r="J13" s="27" t="s">
        <v>54</v>
      </c>
      <c r="K13" s="26">
        <v>-2867</v>
      </c>
      <c r="L13" s="26" t="s">
        <v>55</v>
      </c>
      <c r="M13" s="27" t="s">
        <v>47</v>
      </c>
      <c r="N13" s="27"/>
      <c r="O13" s="28" t="s">
        <v>48</v>
      </c>
      <c r="P13" s="28" t="s">
        <v>49</v>
      </c>
    </row>
    <row r="14" spans="1:16" ht="12.75" customHeight="1" thickBot="1" x14ac:dyDescent="0.25">
      <c r="A14" s="15" t="str">
        <f t="shared" si="0"/>
        <v> RWAR 43.5 </v>
      </c>
      <c r="B14" s="6" t="str">
        <f t="shared" si="1"/>
        <v>I</v>
      </c>
      <c r="C14" s="15">
        <f t="shared" si="2"/>
        <v>24306.388999999999</v>
      </c>
      <c r="D14" s="17" t="str">
        <f t="shared" si="3"/>
        <v>vis</v>
      </c>
      <c r="E14" s="25">
        <f>VLOOKUP(C14,'Active 1'!C$21:E$973,3,FALSE)</f>
        <v>-2864.2997493734347</v>
      </c>
      <c r="F14" s="6" t="s">
        <v>41</v>
      </c>
      <c r="G14" s="17" t="str">
        <f t="shared" si="4"/>
        <v>24306.389</v>
      </c>
      <c r="H14" s="15">
        <f t="shared" si="5"/>
        <v>-2865</v>
      </c>
      <c r="I14" s="26" t="s">
        <v>56</v>
      </c>
      <c r="J14" s="27" t="s">
        <v>57</v>
      </c>
      <c r="K14" s="26">
        <v>-2865</v>
      </c>
      <c r="L14" s="26" t="s">
        <v>58</v>
      </c>
      <c r="M14" s="27" t="s">
        <v>47</v>
      </c>
      <c r="N14" s="27"/>
      <c r="O14" s="28" t="s">
        <v>48</v>
      </c>
      <c r="P14" s="28" t="s">
        <v>49</v>
      </c>
    </row>
    <row r="15" spans="1:16" ht="12.75" customHeight="1" thickBot="1" x14ac:dyDescent="0.25">
      <c r="A15" s="15" t="str">
        <f t="shared" si="0"/>
        <v> RWAR 43.5 </v>
      </c>
      <c r="B15" s="6" t="str">
        <f t="shared" si="1"/>
        <v>I</v>
      </c>
      <c r="C15" s="15">
        <f t="shared" si="2"/>
        <v>24310.385999999999</v>
      </c>
      <c r="D15" s="17" t="str">
        <f t="shared" si="3"/>
        <v>vis</v>
      </c>
      <c r="E15" s="25">
        <f>VLOOKUP(C15,'Active 1'!C$21:E$973,3,FALSE)</f>
        <v>-2862.2962406015049</v>
      </c>
      <c r="F15" s="6" t="s">
        <v>41</v>
      </c>
      <c r="G15" s="17" t="str">
        <f t="shared" si="4"/>
        <v>24310.386</v>
      </c>
      <c r="H15" s="15">
        <f t="shared" si="5"/>
        <v>-2863</v>
      </c>
      <c r="I15" s="26" t="s">
        <v>59</v>
      </c>
      <c r="J15" s="27" t="s">
        <v>60</v>
      </c>
      <c r="K15" s="26">
        <v>-2863</v>
      </c>
      <c r="L15" s="26" t="s">
        <v>61</v>
      </c>
      <c r="M15" s="27" t="s">
        <v>47</v>
      </c>
      <c r="N15" s="27"/>
      <c r="O15" s="28" t="s">
        <v>48</v>
      </c>
      <c r="P15" s="28" t="s">
        <v>49</v>
      </c>
    </row>
    <row r="16" spans="1:16" ht="12.75" customHeight="1" thickBot="1" x14ac:dyDescent="0.25">
      <c r="A16" s="15" t="str">
        <f t="shared" si="0"/>
        <v> RWAR 43.5 </v>
      </c>
      <c r="B16" s="6" t="str">
        <f t="shared" si="1"/>
        <v>I</v>
      </c>
      <c r="C16" s="15">
        <f t="shared" si="2"/>
        <v>24312.385999999999</v>
      </c>
      <c r="D16" s="17" t="str">
        <f t="shared" si="3"/>
        <v>vis</v>
      </c>
      <c r="E16" s="25">
        <f>VLOOKUP(C16,'Active 1'!C$21:E$973,3,FALSE)</f>
        <v>-2861.2937343358408</v>
      </c>
      <c r="F16" s="6" t="s">
        <v>41</v>
      </c>
      <c r="G16" s="17" t="str">
        <f t="shared" si="4"/>
        <v>24312.386</v>
      </c>
      <c r="H16" s="15">
        <f t="shared" si="5"/>
        <v>-2862</v>
      </c>
      <c r="I16" s="26" t="s">
        <v>62</v>
      </c>
      <c r="J16" s="27" t="s">
        <v>63</v>
      </c>
      <c r="K16" s="26">
        <v>-2862</v>
      </c>
      <c r="L16" s="26" t="s">
        <v>64</v>
      </c>
      <c r="M16" s="27" t="s">
        <v>47</v>
      </c>
      <c r="N16" s="27"/>
      <c r="O16" s="28" t="s">
        <v>48</v>
      </c>
      <c r="P16" s="28" t="s">
        <v>49</v>
      </c>
    </row>
    <row r="17" spans="1:16" ht="12.75" customHeight="1" thickBot="1" x14ac:dyDescent="0.25">
      <c r="A17" s="15" t="str">
        <f t="shared" si="0"/>
        <v> AN 263.165 </v>
      </c>
      <c r="B17" s="6" t="str">
        <f t="shared" si="1"/>
        <v>I</v>
      </c>
      <c r="C17" s="15">
        <f t="shared" si="2"/>
        <v>25622.698</v>
      </c>
      <c r="D17" s="17" t="str">
        <f t="shared" si="3"/>
        <v>vis</v>
      </c>
      <c r="E17" s="25">
        <f>VLOOKUP(C17,'Active 1'!C$21:E$973,3,FALSE)</f>
        <v>-2204.4957393483714</v>
      </c>
      <c r="F17" s="6" t="s">
        <v>41</v>
      </c>
      <c r="G17" s="17" t="str">
        <f t="shared" si="4"/>
        <v>25622.698</v>
      </c>
      <c r="H17" s="15">
        <f t="shared" si="5"/>
        <v>-2205</v>
      </c>
      <c r="I17" s="26" t="s">
        <v>65</v>
      </c>
      <c r="J17" s="27" t="s">
        <v>66</v>
      </c>
      <c r="K17" s="26">
        <v>-2205</v>
      </c>
      <c r="L17" s="26" t="s">
        <v>67</v>
      </c>
      <c r="M17" s="27" t="s">
        <v>68</v>
      </c>
      <c r="N17" s="27"/>
      <c r="O17" s="28" t="s">
        <v>69</v>
      </c>
      <c r="P17" s="28" t="s">
        <v>70</v>
      </c>
    </row>
    <row r="18" spans="1:16" ht="12.75" customHeight="1" thickBot="1" x14ac:dyDescent="0.25">
      <c r="A18" s="15" t="str">
        <f t="shared" si="0"/>
        <v> MVS 141 </v>
      </c>
      <c r="B18" s="6" t="str">
        <f t="shared" si="1"/>
        <v>I</v>
      </c>
      <c r="C18" s="15">
        <f t="shared" si="2"/>
        <v>25680.592000000001</v>
      </c>
      <c r="D18" s="17" t="str">
        <f t="shared" si="3"/>
        <v>vis</v>
      </c>
      <c r="E18" s="25">
        <f>VLOOKUP(C18,'Active 1'!C$21:E$973,3,FALSE)</f>
        <v>-2175.4761904761908</v>
      </c>
      <c r="F18" s="6" t="s">
        <v>41</v>
      </c>
      <c r="G18" s="17" t="str">
        <f t="shared" si="4"/>
        <v>25680.592</v>
      </c>
      <c r="H18" s="15">
        <f t="shared" si="5"/>
        <v>-2176</v>
      </c>
      <c r="I18" s="26" t="s">
        <v>71</v>
      </c>
      <c r="J18" s="27" t="s">
        <v>72</v>
      </c>
      <c r="K18" s="26">
        <v>-2176</v>
      </c>
      <c r="L18" s="26" t="s">
        <v>73</v>
      </c>
      <c r="M18" s="27" t="s">
        <v>68</v>
      </c>
      <c r="N18" s="27"/>
      <c r="O18" s="28" t="s">
        <v>74</v>
      </c>
      <c r="P18" s="28" t="s">
        <v>75</v>
      </c>
    </row>
    <row r="19" spans="1:16" ht="12.75" customHeight="1" thickBot="1" x14ac:dyDescent="0.25">
      <c r="A19" s="15" t="str">
        <f t="shared" si="0"/>
        <v> MVS 141 </v>
      </c>
      <c r="B19" s="6" t="str">
        <f t="shared" si="1"/>
        <v>I</v>
      </c>
      <c r="C19" s="15">
        <f t="shared" si="2"/>
        <v>25740.39</v>
      </c>
      <c r="D19" s="17" t="str">
        <f t="shared" si="3"/>
        <v>vis</v>
      </c>
      <c r="E19" s="25">
        <f>VLOOKUP(C19,'Active 1'!C$21:E$973,3,FALSE)</f>
        <v>-2145.5022556390986</v>
      </c>
      <c r="F19" s="6" t="s">
        <v>41</v>
      </c>
      <c r="G19" s="17" t="str">
        <f t="shared" si="4"/>
        <v>25740.390</v>
      </c>
      <c r="H19" s="15">
        <f t="shared" si="5"/>
        <v>-2146</v>
      </c>
      <c r="I19" s="26" t="s">
        <v>76</v>
      </c>
      <c r="J19" s="27" t="s">
        <v>77</v>
      </c>
      <c r="K19" s="26">
        <v>-2146</v>
      </c>
      <c r="L19" s="26" t="s">
        <v>78</v>
      </c>
      <c r="M19" s="27" t="s">
        <v>68</v>
      </c>
      <c r="N19" s="27"/>
      <c r="O19" s="28" t="s">
        <v>74</v>
      </c>
      <c r="P19" s="28" t="s">
        <v>75</v>
      </c>
    </row>
    <row r="20" spans="1:16" ht="12.75" customHeight="1" thickBot="1" x14ac:dyDescent="0.25">
      <c r="A20" s="15" t="str">
        <f t="shared" si="0"/>
        <v> MVS 141 </v>
      </c>
      <c r="B20" s="6" t="str">
        <f t="shared" si="1"/>
        <v>I</v>
      </c>
      <c r="C20" s="15">
        <f t="shared" si="2"/>
        <v>26057.548999999999</v>
      </c>
      <c r="D20" s="17" t="str">
        <f t="shared" si="3"/>
        <v>vis</v>
      </c>
      <c r="E20" s="25">
        <f>VLOOKUP(C20,'Active 1'!C$21:E$973,3,FALSE)</f>
        <v>-1986.525313283209</v>
      </c>
      <c r="F20" s="6" t="s">
        <v>41</v>
      </c>
      <c r="G20" s="17" t="str">
        <f t="shared" si="4"/>
        <v>26057.549</v>
      </c>
      <c r="H20" s="15">
        <f t="shared" si="5"/>
        <v>-1987</v>
      </c>
      <c r="I20" s="26" t="s">
        <v>79</v>
      </c>
      <c r="J20" s="27" t="s">
        <v>80</v>
      </c>
      <c r="K20" s="26">
        <v>-1987</v>
      </c>
      <c r="L20" s="26" t="s">
        <v>52</v>
      </c>
      <c r="M20" s="27" t="s">
        <v>68</v>
      </c>
      <c r="N20" s="27"/>
      <c r="O20" s="28" t="s">
        <v>74</v>
      </c>
      <c r="P20" s="28" t="s">
        <v>75</v>
      </c>
    </row>
    <row r="21" spans="1:16" ht="12.75" customHeight="1" thickBot="1" x14ac:dyDescent="0.25">
      <c r="A21" s="15" t="str">
        <f t="shared" si="0"/>
        <v> AN 263.165 </v>
      </c>
      <c r="B21" s="6" t="str">
        <f t="shared" si="1"/>
        <v>I</v>
      </c>
      <c r="C21" s="15">
        <f t="shared" si="2"/>
        <v>26065.544999999998</v>
      </c>
      <c r="D21" s="17" t="str">
        <f t="shared" si="3"/>
        <v>vis</v>
      </c>
      <c r="E21" s="25">
        <f>VLOOKUP(C21,'Active 1'!C$21:E$973,3,FALSE)</f>
        <v>-1982.517293233084</v>
      </c>
      <c r="F21" s="6" t="s">
        <v>41</v>
      </c>
      <c r="G21" s="17" t="str">
        <f t="shared" si="4"/>
        <v>26065.545</v>
      </c>
      <c r="H21" s="15">
        <f t="shared" si="5"/>
        <v>-1983</v>
      </c>
      <c r="I21" s="26" t="s">
        <v>81</v>
      </c>
      <c r="J21" s="27" t="s">
        <v>82</v>
      </c>
      <c r="K21" s="26">
        <v>-1983</v>
      </c>
      <c r="L21" s="26" t="s">
        <v>83</v>
      </c>
      <c r="M21" s="27" t="s">
        <v>68</v>
      </c>
      <c r="N21" s="27"/>
      <c r="O21" s="28" t="s">
        <v>69</v>
      </c>
      <c r="P21" s="28" t="s">
        <v>70</v>
      </c>
    </row>
    <row r="22" spans="1:16" ht="12.75" customHeight="1" thickBot="1" x14ac:dyDescent="0.25">
      <c r="A22" s="15" t="str">
        <f t="shared" si="0"/>
        <v> MVS 141 </v>
      </c>
      <c r="B22" s="6" t="str">
        <f t="shared" si="1"/>
        <v>I</v>
      </c>
      <c r="C22" s="15">
        <f t="shared" si="2"/>
        <v>26089.451000000001</v>
      </c>
      <c r="D22" s="17" t="str">
        <f t="shared" si="3"/>
        <v>vis</v>
      </c>
      <c r="E22" s="25">
        <f>VLOOKUP(C22,'Active 1'!C$21:E$973,3,FALSE)</f>
        <v>-1970.5343358395992</v>
      </c>
      <c r="F22" s="6" t="s">
        <v>41</v>
      </c>
      <c r="G22" s="17" t="str">
        <f t="shared" si="4"/>
        <v>26089.451</v>
      </c>
      <c r="H22" s="15">
        <f t="shared" si="5"/>
        <v>-1971</v>
      </c>
      <c r="I22" s="26" t="s">
        <v>84</v>
      </c>
      <c r="J22" s="27" t="s">
        <v>85</v>
      </c>
      <c r="K22" s="26">
        <v>-1971</v>
      </c>
      <c r="L22" s="26" t="s">
        <v>86</v>
      </c>
      <c r="M22" s="27" t="s">
        <v>68</v>
      </c>
      <c r="N22" s="27"/>
      <c r="O22" s="28" t="s">
        <v>74</v>
      </c>
      <c r="P22" s="28" t="s">
        <v>75</v>
      </c>
    </row>
    <row r="23" spans="1:16" ht="12.75" customHeight="1" thickBot="1" x14ac:dyDescent="0.25">
      <c r="A23" s="15" t="str">
        <f t="shared" si="0"/>
        <v> MVS 141 </v>
      </c>
      <c r="B23" s="6" t="str">
        <f t="shared" si="1"/>
        <v>I</v>
      </c>
      <c r="C23" s="15">
        <f t="shared" si="2"/>
        <v>26091.425999999999</v>
      </c>
      <c r="D23" s="17" t="str">
        <f t="shared" si="3"/>
        <v>vis</v>
      </c>
      <c r="E23" s="25">
        <f>VLOOKUP(C23,'Active 1'!C$21:E$973,3,FALSE)</f>
        <v>-1969.5443609022564</v>
      </c>
      <c r="F23" s="6" t="s">
        <v>41</v>
      </c>
      <c r="G23" s="17" t="str">
        <f t="shared" si="4"/>
        <v>26091.426</v>
      </c>
      <c r="H23" s="15">
        <f t="shared" si="5"/>
        <v>-1970</v>
      </c>
      <c r="I23" s="26" t="s">
        <v>87</v>
      </c>
      <c r="J23" s="27" t="s">
        <v>88</v>
      </c>
      <c r="K23" s="26">
        <v>-1970</v>
      </c>
      <c r="L23" s="26" t="s">
        <v>89</v>
      </c>
      <c r="M23" s="27" t="s">
        <v>68</v>
      </c>
      <c r="N23" s="27"/>
      <c r="O23" s="28" t="s">
        <v>74</v>
      </c>
      <c r="P23" s="28" t="s">
        <v>75</v>
      </c>
    </row>
    <row r="24" spans="1:16" ht="12.75" customHeight="1" thickBot="1" x14ac:dyDescent="0.25">
      <c r="A24" s="15" t="str">
        <f t="shared" si="0"/>
        <v> AN 263.165 </v>
      </c>
      <c r="B24" s="6" t="str">
        <f t="shared" si="1"/>
        <v>I</v>
      </c>
      <c r="C24" s="15">
        <f t="shared" si="2"/>
        <v>26095.45</v>
      </c>
      <c r="D24" s="17" t="str">
        <f t="shared" si="3"/>
        <v>vis</v>
      </c>
      <c r="E24" s="25">
        <f>VLOOKUP(C24,'Active 1'!C$21:E$973,3,FALSE)</f>
        <v>-1967.5273182957396</v>
      </c>
      <c r="F24" s="6" t="s">
        <v>41</v>
      </c>
      <c r="G24" s="17" t="str">
        <f t="shared" si="4"/>
        <v>26095.450</v>
      </c>
      <c r="H24" s="15">
        <f t="shared" si="5"/>
        <v>-1968</v>
      </c>
      <c r="I24" s="26" t="s">
        <v>90</v>
      </c>
      <c r="J24" s="27" t="s">
        <v>91</v>
      </c>
      <c r="K24" s="26">
        <v>-1968</v>
      </c>
      <c r="L24" s="26" t="s">
        <v>92</v>
      </c>
      <c r="M24" s="27" t="s">
        <v>68</v>
      </c>
      <c r="N24" s="27"/>
      <c r="O24" s="28" t="s">
        <v>69</v>
      </c>
      <c r="P24" s="28" t="s">
        <v>70</v>
      </c>
    </row>
    <row r="25" spans="1:16" ht="12.75" customHeight="1" thickBot="1" x14ac:dyDescent="0.25">
      <c r="A25" s="15" t="str">
        <f t="shared" si="0"/>
        <v> AN 263.165 </v>
      </c>
      <c r="B25" s="6" t="str">
        <f t="shared" si="1"/>
        <v>I</v>
      </c>
      <c r="C25" s="15">
        <f t="shared" si="2"/>
        <v>26113.401000000002</v>
      </c>
      <c r="D25" s="17" t="str">
        <f t="shared" si="3"/>
        <v>vis</v>
      </c>
      <c r="E25" s="25">
        <f>VLOOKUP(C25,'Active 1'!C$21:E$973,3,FALSE)</f>
        <v>-1958.5293233082705</v>
      </c>
      <c r="F25" s="6" t="s">
        <v>41</v>
      </c>
      <c r="G25" s="17" t="str">
        <f t="shared" si="4"/>
        <v>26113.401</v>
      </c>
      <c r="H25" s="15">
        <f t="shared" si="5"/>
        <v>-1959</v>
      </c>
      <c r="I25" s="26" t="s">
        <v>93</v>
      </c>
      <c r="J25" s="27" t="s">
        <v>94</v>
      </c>
      <c r="K25" s="26">
        <v>-1959</v>
      </c>
      <c r="L25" s="26" t="s">
        <v>92</v>
      </c>
      <c r="M25" s="27" t="s">
        <v>68</v>
      </c>
      <c r="N25" s="27"/>
      <c r="O25" s="28" t="s">
        <v>69</v>
      </c>
      <c r="P25" s="28" t="s">
        <v>70</v>
      </c>
    </row>
    <row r="26" spans="1:16" ht="12.75" customHeight="1" thickBot="1" x14ac:dyDescent="0.25">
      <c r="A26" s="15" t="str">
        <f t="shared" si="0"/>
        <v> MVS 141 </v>
      </c>
      <c r="B26" s="6" t="str">
        <f t="shared" si="1"/>
        <v>I</v>
      </c>
      <c r="C26" s="15">
        <f t="shared" si="2"/>
        <v>26396.510999999999</v>
      </c>
      <c r="D26" s="17" t="str">
        <f t="shared" si="3"/>
        <v>vis</v>
      </c>
      <c r="E26" s="25">
        <f>VLOOKUP(C26,'Active 1'!C$21:E$973,3,FALSE)</f>
        <v>-1816.6195488721817</v>
      </c>
      <c r="F26" s="6" t="s">
        <v>41</v>
      </c>
      <c r="G26" s="17" t="str">
        <f t="shared" si="4"/>
        <v>26396.511</v>
      </c>
      <c r="H26" s="15">
        <f t="shared" si="5"/>
        <v>-1817</v>
      </c>
      <c r="I26" s="26" t="s">
        <v>95</v>
      </c>
      <c r="J26" s="27" t="s">
        <v>96</v>
      </c>
      <c r="K26" s="26">
        <v>-1817</v>
      </c>
      <c r="L26" s="26" t="s">
        <v>97</v>
      </c>
      <c r="M26" s="27" t="s">
        <v>68</v>
      </c>
      <c r="N26" s="27"/>
      <c r="O26" s="28" t="s">
        <v>74</v>
      </c>
      <c r="P26" s="28" t="s">
        <v>75</v>
      </c>
    </row>
    <row r="27" spans="1:16" ht="12.75" customHeight="1" thickBot="1" x14ac:dyDescent="0.25">
      <c r="A27" s="15" t="str">
        <f t="shared" si="0"/>
        <v> MVS 141 </v>
      </c>
      <c r="B27" s="6" t="str">
        <f t="shared" si="1"/>
        <v>I</v>
      </c>
      <c r="C27" s="15">
        <f t="shared" si="2"/>
        <v>26414.525000000001</v>
      </c>
      <c r="D27" s="17" t="str">
        <f t="shared" si="3"/>
        <v>vis</v>
      </c>
      <c r="E27" s="25">
        <f>VLOOKUP(C27,'Active 1'!C$21:E$973,3,FALSE)</f>
        <v>-1807.5899749373432</v>
      </c>
      <c r="F27" s="6" t="s">
        <v>41</v>
      </c>
      <c r="G27" s="17" t="str">
        <f t="shared" si="4"/>
        <v>26414.525</v>
      </c>
      <c r="H27" s="15">
        <f t="shared" si="5"/>
        <v>-1808</v>
      </c>
      <c r="I27" s="26" t="s">
        <v>98</v>
      </c>
      <c r="J27" s="27" t="s">
        <v>99</v>
      </c>
      <c r="K27" s="26">
        <v>-1808</v>
      </c>
      <c r="L27" s="26" t="s">
        <v>100</v>
      </c>
      <c r="M27" s="27" t="s">
        <v>68</v>
      </c>
      <c r="N27" s="27"/>
      <c r="O27" s="28" t="s">
        <v>74</v>
      </c>
      <c r="P27" s="28" t="s">
        <v>75</v>
      </c>
    </row>
    <row r="28" spans="1:16" ht="12.75" customHeight="1" thickBot="1" x14ac:dyDescent="0.25">
      <c r="A28" s="15" t="str">
        <f t="shared" si="0"/>
        <v> MVS 141 </v>
      </c>
      <c r="B28" s="6" t="str">
        <f t="shared" si="1"/>
        <v>I</v>
      </c>
      <c r="C28" s="15">
        <f t="shared" si="2"/>
        <v>26440.478999999999</v>
      </c>
      <c r="D28" s="17" t="str">
        <f t="shared" si="3"/>
        <v>vis</v>
      </c>
      <c r="E28" s="25">
        <f>VLOOKUP(C28,'Active 1'!C$21:E$973,3,FALSE)</f>
        <v>-1794.5804511278204</v>
      </c>
      <c r="F28" s="6" t="s">
        <v>41</v>
      </c>
      <c r="G28" s="17" t="str">
        <f t="shared" si="4"/>
        <v>26440.479</v>
      </c>
      <c r="H28" s="15">
        <f t="shared" si="5"/>
        <v>-1795</v>
      </c>
      <c r="I28" s="26" t="s">
        <v>101</v>
      </c>
      <c r="J28" s="27" t="s">
        <v>102</v>
      </c>
      <c r="K28" s="26">
        <v>-1795</v>
      </c>
      <c r="L28" s="26" t="s">
        <v>103</v>
      </c>
      <c r="M28" s="27" t="s">
        <v>68</v>
      </c>
      <c r="N28" s="27"/>
      <c r="O28" s="28" t="s">
        <v>74</v>
      </c>
      <c r="P28" s="28" t="s">
        <v>75</v>
      </c>
    </row>
    <row r="29" spans="1:16" ht="12.75" customHeight="1" thickBot="1" x14ac:dyDescent="0.25">
      <c r="A29" s="15" t="str">
        <f t="shared" si="0"/>
        <v> MVS 141 </v>
      </c>
      <c r="B29" s="6" t="str">
        <f t="shared" si="1"/>
        <v>I</v>
      </c>
      <c r="C29" s="15">
        <f t="shared" si="2"/>
        <v>26448.468000000001</v>
      </c>
      <c r="D29" s="17" t="str">
        <f t="shared" si="3"/>
        <v>vis</v>
      </c>
      <c r="E29" s="25">
        <f>VLOOKUP(C29,'Active 1'!C$21:E$973,3,FALSE)</f>
        <v>-1790.5759398496243</v>
      </c>
      <c r="F29" s="6" t="s">
        <v>41</v>
      </c>
      <c r="G29" s="17" t="str">
        <f t="shared" si="4"/>
        <v>26448.468</v>
      </c>
      <c r="H29" s="15">
        <f t="shared" si="5"/>
        <v>-1791</v>
      </c>
      <c r="I29" s="26" t="s">
        <v>104</v>
      </c>
      <c r="J29" s="27" t="s">
        <v>105</v>
      </c>
      <c r="K29" s="26">
        <v>-1791</v>
      </c>
      <c r="L29" s="26" t="s">
        <v>106</v>
      </c>
      <c r="M29" s="27" t="s">
        <v>68</v>
      </c>
      <c r="N29" s="27"/>
      <c r="O29" s="28" t="s">
        <v>74</v>
      </c>
      <c r="P29" s="28" t="s">
        <v>75</v>
      </c>
    </row>
    <row r="30" spans="1:16" ht="12.75" customHeight="1" thickBot="1" x14ac:dyDescent="0.25">
      <c r="A30" s="15" t="str">
        <f t="shared" si="0"/>
        <v> AN 263.165 </v>
      </c>
      <c r="B30" s="6" t="str">
        <f t="shared" si="1"/>
        <v>I</v>
      </c>
      <c r="C30" s="15">
        <f t="shared" si="2"/>
        <v>26478.406999999999</v>
      </c>
      <c r="D30" s="17" t="str">
        <f t="shared" si="3"/>
        <v>vis</v>
      </c>
      <c r="E30" s="25">
        <f>VLOOKUP(C30,'Active 1'!C$21:E$973,3,FALSE)</f>
        <v>-1775.5689223057652</v>
      </c>
      <c r="F30" s="6" t="s">
        <v>41</v>
      </c>
      <c r="G30" s="17" t="str">
        <f t="shared" si="4"/>
        <v>26478.407</v>
      </c>
      <c r="H30" s="15">
        <f t="shared" si="5"/>
        <v>-1776</v>
      </c>
      <c r="I30" s="26" t="s">
        <v>107</v>
      </c>
      <c r="J30" s="27" t="s">
        <v>108</v>
      </c>
      <c r="K30" s="26">
        <v>-1776</v>
      </c>
      <c r="L30" s="26" t="s">
        <v>109</v>
      </c>
      <c r="M30" s="27" t="s">
        <v>68</v>
      </c>
      <c r="N30" s="27"/>
      <c r="O30" s="28" t="s">
        <v>69</v>
      </c>
      <c r="P30" s="28" t="s">
        <v>70</v>
      </c>
    </row>
    <row r="31" spans="1:16" ht="12.75" customHeight="1" thickBot="1" x14ac:dyDescent="0.25">
      <c r="A31" s="15" t="str">
        <f t="shared" si="0"/>
        <v> MVS 141 </v>
      </c>
      <c r="B31" s="6" t="str">
        <f t="shared" si="1"/>
        <v>I</v>
      </c>
      <c r="C31" s="15">
        <f t="shared" si="2"/>
        <v>26769.55</v>
      </c>
      <c r="D31" s="17" t="str">
        <f t="shared" si="3"/>
        <v>vis</v>
      </c>
      <c r="E31" s="25">
        <f>VLOOKUP(C31,'Active 1'!C$21:E$973,3,FALSE)</f>
        <v>-1629.6325814536351</v>
      </c>
      <c r="F31" s="6" t="s">
        <v>41</v>
      </c>
      <c r="G31" s="17" t="str">
        <f t="shared" si="4"/>
        <v>26769.550</v>
      </c>
      <c r="H31" s="15">
        <f t="shared" si="5"/>
        <v>-1630</v>
      </c>
      <c r="I31" s="26" t="s">
        <v>110</v>
      </c>
      <c r="J31" s="27" t="s">
        <v>111</v>
      </c>
      <c r="K31" s="26">
        <v>-1630</v>
      </c>
      <c r="L31" s="26" t="s">
        <v>112</v>
      </c>
      <c r="M31" s="27" t="s">
        <v>68</v>
      </c>
      <c r="N31" s="27"/>
      <c r="O31" s="28" t="s">
        <v>74</v>
      </c>
      <c r="P31" s="28" t="s">
        <v>75</v>
      </c>
    </row>
    <row r="32" spans="1:16" ht="12.75" customHeight="1" thickBot="1" x14ac:dyDescent="0.25">
      <c r="A32" s="15" t="str">
        <f t="shared" si="0"/>
        <v> MVS 141 </v>
      </c>
      <c r="B32" s="6" t="str">
        <f t="shared" si="1"/>
        <v>I</v>
      </c>
      <c r="C32" s="15">
        <f t="shared" si="2"/>
        <v>26823.442999999999</v>
      </c>
      <c r="D32" s="17" t="str">
        <f t="shared" si="3"/>
        <v>vis</v>
      </c>
      <c r="E32" s="25">
        <f>VLOOKUP(C32,'Active 1'!C$21:E$973,3,FALSE)</f>
        <v>-1602.6185463659158</v>
      </c>
      <c r="F32" s="6" t="s">
        <v>41</v>
      </c>
      <c r="G32" s="17" t="str">
        <f t="shared" si="4"/>
        <v>26823.443</v>
      </c>
      <c r="H32" s="15">
        <f t="shared" si="5"/>
        <v>-1603</v>
      </c>
      <c r="I32" s="26" t="s">
        <v>113</v>
      </c>
      <c r="J32" s="27" t="s">
        <v>114</v>
      </c>
      <c r="K32" s="26">
        <v>-1603</v>
      </c>
      <c r="L32" s="26" t="s">
        <v>73</v>
      </c>
      <c r="M32" s="27" t="s">
        <v>68</v>
      </c>
      <c r="N32" s="27"/>
      <c r="O32" s="28" t="s">
        <v>74</v>
      </c>
      <c r="P32" s="28" t="s">
        <v>75</v>
      </c>
    </row>
    <row r="33" spans="1:16" ht="12.75" customHeight="1" thickBot="1" x14ac:dyDescent="0.25">
      <c r="A33" s="15" t="str">
        <f t="shared" si="0"/>
        <v> MVS 141 </v>
      </c>
      <c r="B33" s="6" t="str">
        <f t="shared" si="1"/>
        <v>I</v>
      </c>
      <c r="C33" s="15">
        <f t="shared" si="2"/>
        <v>27533.476999999999</v>
      </c>
      <c r="D33" s="17" t="str">
        <f t="shared" si="3"/>
        <v>vis</v>
      </c>
      <c r="E33" s="25">
        <f>VLOOKUP(C33,'Active 1'!C$21:E$973,3,FALSE)</f>
        <v>-1246.7117794486226</v>
      </c>
      <c r="F33" s="6" t="s">
        <v>41</v>
      </c>
      <c r="G33" s="17" t="str">
        <f t="shared" si="4"/>
        <v>27533.477</v>
      </c>
      <c r="H33" s="15">
        <f t="shared" si="5"/>
        <v>-1247</v>
      </c>
      <c r="I33" s="26" t="s">
        <v>115</v>
      </c>
      <c r="J33" s="27" t="s">
        <v>116</v>
      </c>
      <c r="K33" s="26">
        <v>-1247</v>
      </c>
      <c r="L33" s="26" t="s">
        <v>117</v>
      </c>
      <c r="M33" s="27" t="s">
        <v>68</v>
      </c>
      <c r="N33" s="27"/>
      <c r="O33" s="28" t="s">
        <v>74</v>
      </c>
      <c r="P33" s="28" t="s">
        <v>75</v>
      </c>
    </row>
    <row r="34" spans="1:16" ht="12.75" customHeight="1" thickBot="1" x14ac:dyDescent="0.25">
      <c r="A34" s="15" t="str">
        <f t="shared" si="0"/>
        <v> MVS 141 </v>
      </c>
      <c r="B34" s="6" t="str">
        <f t="shared" si="1"/>
        <v>I</v>
      </c>
      <c r="C34" s="15">
        <f t="shared" si="2"/>
        <v>28219.583999999999</v>
      </c>
      <c r="D34" s="17" t="str">
        <f t="shared" si="3"/>
        <v>vis</v>
      </c>
      <c r="E34" s="25">
        <f>VLOOKUP(C34,'Active 1'!C$21:E$973,3,FALSE)</f>
        <v>-902.79849624060262</v>
      </c>
      <c r="F34" s="6" t="s">
        <v>41</v>
      </c>
      <c r="G34" s="17" t="str">
        <f t="shared" si="4"/>
        <v>28219.584</v>
      </c>
      <c r="H34" s="15">
        <f t="shared" si="5"/>
        <v>-903</v>
      </c>
      <c r="I34" s="26" t="s">
        <v>118</v>
      </c>
      <c r="J34" s="27" t="s">
        <v>119</v>
      </c>
      <c r="K34" s="26">
        <v>-903</v>
      </c>
      <c r="L34" s="26" t="s">
        <v>120</v>
      </c>
      <c r="M34" s="27" t="s">
        <v>68</v>
      </c>
      <c r="N34" s="27"/>
      <c r="O34" s="28" t="s">
        <v>74</v>
      </c>
      <c r="P34" s="28" t="s">
        <v>75</v>
      </c>
    </row>
    <row r="35" spans="1:16" ht="12.75" customHeight="1" thickBot="1" x14ac:dyDescent="0.25">
      <c r="A35" s="15" t="str">
        <f t="shared" si="0"/>
        <v> MVS 141 </v>
      </c>
      <c r="B35" s="6" t="str">
        <f t="shared" si="1"/>
        <v>I</v>
      </c>
      <c r="C35" s="15">
        <f t="shared" si="2"/>
        <v>28249.487000000001</v>
      </c>
      <c r="D35" s="17" t="str">
        <f t="shared" si="3"/>
        <v>vis</v>
      </c>
      <c r="E35" s="25">
        <f>VLOOKUP(C35,'Active 1'!C$21:E$973,3,FALSE)</f>
        <v>-887.80952380952385</v>
      </c>
      <c r="F35" s="6" t="s">
        <v>41</v>
      </c>
      <c r="G35" s="17" t="str">
        <f t="shared" si="4"/>
        <v>28249.487</v>
      </c>
      <c r="H35" s="15">
        <f t="shared" si="5"/>
        <v>-888</v>
      </c>
      <c r="I35" s="26" t="s">
        <v>121</v>
      </c>
      <c r="J35" s="27" t="s">
        <v>122</v>
      </c>
      <c r="K35" s="26">
        <v>-888</v>
      </c>
      <c r="L35" s="26" t="s">
        <v>123</v>
      </c>
      <c r="M35" s="27" t="s">
        <v>68</v>
      </c>
      <c r="N35" s="27"/>
      <c r="O35" s="28" t="s">
        <v>74</v>
      </c>
      <c r="P35" s="28" t="s">
        <v>75</v>
      </c>
    </row>
    <row r="36" spans="1:16" ht="12.75" customHeight="1" thickBot="1" x14ac:dyDescent="0.25">
      <c r="A36" s="15" t="str">
        <f t="shared" si="0"/>
        <v> AN 264.107 </v>
      </c>
      <c r="B36" s="6" t="str">
        <f t="shared" si="1"/>
        <v>I</v>
      </c>
      <c r="C36" s="15">
        <f t="shared" si="2"/>
        <v>28285.5</v>
      </c>
      <c r="D36" s="17" t="str">
        <f t="shared" si="3"/>
        <v>vis</v>
      </c>
      <c r="E36" s="25">
        <f>VLOOKUP(C36,'Active 1'!C$21:E$973,3,FALSE)</f>
        <v>-869.75789473684267</v>
      </c>
      <c r="F36" s="6" t="s">
        <v>41</v>
      </c>
      <c r="G36" s="17" t="str">
        <f t="shared" si="4"/>
        <v>28285.500</v>
      </c>
      <c r="H36" s="15">
        <f t="shared" si="5"/>
        <v>-870</v>
      </c>
      <c r="I36" s="26" t="s">
        <v>124</v>
      </c>
      <c r="J36" s="27" t="s">
        <v>125</v>
      </c>
      <c r="K36" s="26">
        <v>-870</v>
      </c>
      <c r="L36" s="26" t="s">
        <v>126</v>
      </c>
      <c r="M36" s="27" t="s">
        <v>47</v>
      </c>
      <c r="N36" s="27"/>
      <c r="O36" s="28" t="s">
        <v>127</v>
      </c>
      <c r="P36" s="28" t="s">
        <v>128</v>
      </c>
    </row>
    <row r="37" spans="1:16" ht="12.75" customHeight="1" thickBot="1" x14ac:dyDescent="0.25">
      <c r="A37" s="15" t="str">
        <f t="shared" si="0"/>
        <v> AN 264.107 </v>
      </c>
      <c r="B37" s="6" t="str">
        <f t="shared" si="1"/>
        <v>I</v>
      </c>
      <c r="C37" s="15">
        <f t="shared" si="2"/>
        <v>28297.465</v>
      </c>
      <c r="D37" s="17" t="str">
        <f t="shared" si="3"/>
        <v>vis</v>
      </c>
      <c r="E37" s="25">
        <f>VLOOKUP(C37,'Active 1'!C$21:E$973,3,FALSE)</f>
        <v>-863.7604010025068</v>
      </c>
      <c r="F37" s="6" t="s">
        <v>41</v>
      </c>
      <c r="G37" s="17" t="str">
        <f t="shared" si="4"/>
        <v>28297.465</v>
      </c>
      <c r="H37" s="15">
        <f t="shared" si="5"/>
        <v>-864</v>
      </c>
      <c r="I37" s="26" t="s">
        <v>129</v>
      </c>
      <c r="J37" s="27" t="s">
        <v>130</v>
      </c>
      <c r="K37" s="26">
        <v>-864</v>
      </c>
      <c r="L37" s="26" t="s">
        <v>131</v>
      </c>
      <c r="M37" s="27" t="s">
        <v>47</v>
      </c>
      <c r="N37" s="27"/>
      <c r="O37" s="28" t="s">
        <v>127</v>
      </c>
      <c r="P37" s="28" t="s">
        <v>128</v>
      </c>
    </row>
    <row r="38" spans="1:16" ht="12.75" customHeight="1" thickBot="1" x14ac:dyDescent="0.25">
      <c r="A38" s="15" t="str">
        <f t="shared" si="0"/>
        <v> AN 264.107 </v>
      </c>
      <c r="B38" s="6" t="str">
        <f t="shared" si="1"/>
        <v>I</v>
      </c>
      <c r="C38" s="15">
        <f t="shared" si="2"/>
        <v>28313.425999999999</v>
      </c>
      <c r="D38" s="17" t="str">
        <f t="shared" si="3"/>
        <v>vis</v>
      </c>
      <c r="E38" s="25">
        <f>VLOOKUP(C38,'Active 1'!C$21:E$973,3,FALSE)</f>
        <v>-855.75989974937431</v>
      </c>
      <c r="F38" s="6" t="s">
        <v>41</v>
      </c>
      <c r="G38" s="17" t="str">
        <f t="shared" si="4"/>
        <v>28313.426</v>
      </c>
      <c r="H38" s="15">
        <f t="shared" si="5"/>
        <v>-856</v>
      </c>
      <c r="I38" s="26" t="s">
        <v>132</v>
      </c>
      <c r="J38" s="27" t="s">
        <v>133</v>
      </c>
      <c r="K38" s="26">
        <v>-856</v>
      </c>
      <c r="L38" s="26" t="s">
        <v>134</v>
      </c>
      <c r="M38" s="27" t="s">
        <v>47</v>
      </c>
      <c r="N38" s="27"/>
      <c r="O38" s="28" t="s">
        <v>127</v>
      </c>
      <c r="P38" s="28" t="s">
        <v>128</v>
      </c>
    </row>
    <row r="39" spans="1:16" ht="12.75" customHeight="1" thickBot="1" x14ac:dyDescent="0.25">
      <c r="A39" s="15" t="str">
        <f t="shared" si="0"/>
        <v> MVS 141 </v>
      </c>
      <c r="B39" s="6" t="str">
        <f t="shared" si="1"/>
        <v>I</v>
      </c>
      <c r="C39" s="15">
        <f t="shared" si="2"/>
        <v>28626.469000000001</v>
      </c>
      <c r="D39" s="17" t="str">
        <f t="shared" si="3"/>
        <v>vis</v>
      </c>
      <c r="E39" s="25">
        <f>VLOOKUP(C39,'Active 1'!C$21:E$973,3,FALSE)</f>
        <v>-698.84611528822063</v>
      </c>
      <c r="F39" s="6" t="s">
        <v>41</v>
      </c>
      <c r="G39" s="17" t="str">
        <f t="shared" si="4"/>
        <v>28626.469</v>
      </c>
      <c r="H39" s="15">
        <f t="shared" si="5"/>
        <v>-699</v>
      </c>
      <c r="I39" s="26" t="s">
        <v>135</v>
      </c>
      <c r="J39" s="27" t="s">
        <v>136</v>
      </c>
      <c r="K39" s="26">
        <v>-699</v>
      </c>
      <c r="L39" s="26" t="s">
        <v>137</v>
      </c>
      <c r="M39" s="27" t="s">
        <v>68</v>
      </c>
      <c r="N39" s="27"/>
      <c r="O39" s="28" t="s">
        <v>74</v>
      </c>
      <c r="P39" s="28" t="s">
        <v>75</v>
      </c>
    </row>
    <row r="40" spans="1:16" ht="12.75" customHeight="1" thickBot="1" x14ac:dyDescent="0.25">
      <c r="A40" s="15" t="str">
        <f t="shared" si="0"/>
        <v> AN 264.107 </v>
      </c>
      <c r="B40" s="6" t="str">
        <f t="shared" si="1"/>
        <v>I</v>
      </c>
      <c r="C40" s="15">
        <f t="shared" si="2"/>
        <v>28634.51</v>
      </c>
      <c r="D40" s="17" t="str">
        <f t="shared" si="3"/>
        <v>vis</v>
      </c>
      <c r="E40" s="25">
        <f>VLOOKUP(C40,'Active 1'!C$21:E$973,3,FALSE)</f>
        <v>-694.81553884711923</v>
      </c>
      <c r="F40" s="6" t="s">
        <v>41</v>
      </c>
      <c r="G40" s="17" t="str">
        <f t="shared" si="4"/>
        <v>28634.510</v>
      </c>
      <c r="H40" s="15">
        <f t="shared" si="5"/>
        <v>-695</v>
      </c>
      <c r="I40" s="26" t="s">
        <v>138</v>
      </c>
      <c r="J40" s="27" t="s">
        <v>139</v>
      </c>
      <c r="K40" s="26">
        <v>-695</v>
      </c>
      <c r="L40" s="26" t="s">
        <v>140</v>
      </c>
      <c r="M40" s="27" t="s">
        <v>47</v>
      </c>
      <c r="N40" s="27"/>
      <c r="O40" s="28" t="s">
        <v>127</v>
      </c>
      <c r="P40" s="28" t="s">
        <v>128</v>
      </c>
    </row>
    <row r="41" spans="1:16" ht="12.75" customHeight="1" thickBot="1" x14ac:dyDescent="0.25">
      <c r="A41" s="15" t="str">
        <f t="shared" si="0"/>
        <v> AN 264.107 </v>
      </c>
      <c r="B41" s="6" t="str">
        <f t="shared" si="1"/>
        <v>I</v>
      </c>
      <c r="C41" s="15">
        <f t="shared" si="2"/>
        <v>28636.52</v>
      </c>
      <c r="D41" s="17" t="str">
        <f t="shared" si="3"/>
        <v>vis</v>
      </c>
      <c r="E41" s="25">
        <f>VLOOKUP(C41,'Active 1'!C$21:E$973,3,FALSE)</f>
        <v>-693.80802005012572</v>
      </c>
      <c r="F41" s="6" t="s">
        <v>41</v>
      </c>
      <c r="G41" s="17" t="str">
        <f t="shared" si="4"/>
        <v>28636.520</v>
      </c>
      <c r="H41" s="15">
        <f t="shared" si="5"/>
        <v>-694</v>
      </c>
      <c r="I41" s="26" t="s">
        <v>141</v>
      </c>
      <c r="J41" s="27" t="s">
        <v>142</v>
      </c>
      <c r="K41" s="26">
        <v>-694</v>
      </c>
      <c r="L41" s="26" t="s">
        <v>143</v>
      </c>
      <c r="M41" s="27" t="s">
        <v>47</v>
      </c>
      <c r="N41" s="27"/>
      <c r="O41" s="28" t="s">
        <v>127</v>
      </c>
      <c r="P41" s="28" t="s">
        <v>128</v>
      </c>
    </row>
    <row r="42" spans="1:16" ht="12.75" customHeight="1" thickBot="1" x14ac:dyDescent="0.25">
      <c r="A42" s="15" t="str">
        <f t="shared" si="0"/>
        <v> AN 264.107 </v>
      </c>
      <c r="B42" s="6" t="str">
        <f t="shared" si="1"/>
        <v>I</v>
      </c>
      <c r="C42" s="15">
        <f t="shared" si="2"/>
        <v>28638.504000000001</v>
      </c>
      <c r="D42" s="17" t="str">
        <f t="shared" si="3"/>
        <v>vis</v>
      </c>
      <c r="E42" s="25">
        <f>VLOOKUP(C42,'Active 1'!C$21:E$973,3,FALSE)</f>
        <v>-692.81353383458668</v>
      </c>
      <c r="F42" s="6" t="s">
        <v>41</v>
      </c>
      <c r="G42" s="17" t="str">
        <f t="shared" si="4"/>
        <v>28638.504</v>
      </c>
      <c r="H42" s="15">
        <f t="shared" si="5"/>
        <v>-693</v>
      </c>
      <c r="I42" s="26" t="s">
        <v>144</v>
      </c>
      <c r="J42" s="27" t="s">
        <v>145</v>
      </c>
      <c r="K42" s="26">
        <v>-693</v>
      </c>
      <c r="L42" s="26" t="s">
        <v>146</v>
      </c>
      <c r="M42" s="27" t="s">
        <v>47</v>
      </c>
      <c r="N42" s="27"/>
      <c r="O42" s="28" t="s">
        <v>127</v>
      </c>
      <c r="P42" s="28" t="s">
        <v>128</v>
      </c>
    </row>
    <row r="43" spans="1:16" ht="12.75" customHeight="1" thickBot="1" x14ac:dyDescent="0.25">
      <c r="A43" s="15" t="str">
        <f t="shared" si="0"/>
        <v> MVS 141 </v>
      </c>
      <c r="B43" s="6" t="str">
        <f t="shared" si="1"/>
        <v>I</v>
      </c>
      <c r="C43" s="15">
        <f t="shared" si="2"/>
        <v>28658.371999999999</v>
      </c>
      <c r="D43" s="17" t="str">
        <f t="shared" si="3"/>
        <v>vis</v>
      </c>
      <c r="E43" s="25">
        <f>VLOOKUP(C43,'Active 1'!C$21:E$973,3,FALSE)</f>
        <v>-682.85463659147956</v>
      </c>
      <c r="F43" s="6" t="s">
        <v>41</v>
      </c>
      <c r="G43" s="17" t="str">
        <f t="shared" si="4"/>
        <v>28658.372</v>
      </c>
      <c r="H43" s="15">
        <f t="shared" si="5"/>
        <v>-683</v>
      </c>
      <c r="I43" s="26" t="s">
        <v>147</v>
      </c>
      <c r="J43" s="27" t="s">
        <v>148</v>
      </c>
      <c r="K43" s="26">
        <v>-683</v>
      </c>
      <c r="L43" s="26" t="s">
        <v>149</v>
      </c>
      <c r="M43" s="27" t="s">
        <v>68</v>
      </c>
      <c r="N43" s="27"/>
      <c r="O43" s="28" t="s">
        <v>74</v>
      </c>
      <c r="P43" s="28" t="s">
        <v>75</v>
      </c>
    </row>
    <row r="44" spans="1:16" ht="12.75" customHeight="1" thickBot="1" x14ac:dyDescent="0.25">
      <c r="A44" s="15" t="str">
        <f t="shared" si="0"/>
        <v> AN 264.107 </v>
      </c>
      <c r="B44" s="6" t="str">
        <f t="shared" si="1"/>
        <v>I</v>
      </c>
      <c r="C44" s="15">
        <f t="shared" si="2"/>
        <v>28660.465</v>
      </c>
      <c r="D44" s="17" t="str">
        <f t="shared" si="3"/>
        <v>vis</v>
      </c>
      <c r="E44" s="25">
        <f>VLOOKUP(C44,'Active 1'!C$21:E$973,3,FALSE)</f>
        <v>-681.80551378446171</v>
      </c>
      <c r="F44" s="6" t="s">
        <v>41</v>
      </c>
      <c r="G44" s="17" t="str">
        <f t="shared" si="4"/>
        <v>28660.465</v>
      </c>
      <c r="H44" s="15">
        <f t="shared" si="5"/>
        <v>-682</v>
      </c>
      <c r="I44" s="26" t="s">
        <v>150</v>
      </c>
      <c r="J44" s="27" t="s">
        <v>151</v>
      </c>
      <c r="K44" s="26">
        <v>-682</v>
      </c>
      <c r="L44" s="26" t="s">
        <v>131</v>
      </c>
      <c r="M44" s="27" t="s">
        <v>47</v>
      </c>
      <c r="N44" s="27"/>
      <c r="O44" s="28" t="s">
        <v>127</v>
      </c>
      <c r="P44" s="28" t="s">
        <v>128</v>
      </c>
    </row>
    <row r="45" spans="1:16" ht="12.75" customHeight="1" thickBot="1" x14ac:dyDescent="0.25">
      <c r="A45" s="15" t="str">
        <f t="shared" si="0"/>
        <v> AN 264.107 </v>
      </c>
      <c r="B45" s="6" t="str">
        <f t="shared" si="1"/>
        <v>I</v>
      </c>
      <c r="C45" s="15">
        <f t="shared" si="2"/>
        <v>28664.429</v>
      </c>
      <c r="D45" s="17" t="str">
        <f t="shared" si="3"/>
        <v>vis</v>
      </c>
      <c r="E45" s="25">
        <f>VLOOKUP(C45,'Active 1'!C$21:E$973,3,FALSE)</f>
        <v>-679.81854636591538</v>
      </c>
      <c r="F45" s="6" t="s">
        <v>41</v>
      </c>
      <c r="G45" s="17" t="str">
        <f t="shared" si="4"/>
        <v>28664.429</v>
      </c>
      <c r="H45" s="15">
        <f t="shared" si="5"/>
        <v>-680</v>
      </c>
      <c r="I45" s="26" t="s">
        <v>152</v>
      </c>
      <c r="J45" s="27" t="s">
        <v>153</v>
      </c>
      <c r="K45" s="26">
        <v>-680</v>
      </c>
      <c r="L45" s="26" t="s">
        <v>154</v>
      </c>
      <c r="M45" s="27" t="s">
        <v>47</v>
      </c>
      <c r="N45" s="27"/>
      <c r="O45" s="28" t="s">
        <v>127</v>
      </c>
      <c r="P45" s="28" t="s">
        <v>128</v>
      </c>
    </row>
    <row r="46" spans="1:16" ht="12.75" customHeight="1" thickBot="1" x14ac:dyDescent="0.25">
      <c r="A46" s="15" t="str">
        <f t="shared" si="0"/>
        <v> AN 264.107 </v>
      </c>
      <c r="B46" s="6" t="str">
        <f t="shared" si="1"/>
        <v>I</v>
      </c>
      <c r="C46" s="15">
        <f t="shared" si="2"/>
        <v>28684.383999999998</v>
      </c>
      <c r="D46" s="17" t="str">
        <f t="shared" si="3"/>
        <v>vis</v>
      </c>
      <c r="E46" s="25">
        <f>VLOOKUP(C46,'Active 1'!C$21:E$973,3,FALSE)</f>
        <v>-669.81604010025217</v>
      </c>
      <c r="F46" s="6" t="s">
        <v>41</v>
      </c>
      <c r="G46" s="17" t="str">
        <f t="shared" si="4"/>
        <v>28684.384</v>
      </c>
      <c r="H46" s="15">
        <f t="shared" si="5"/>
        <v>-670</v>
      </c>
      <c r="I46" s="26" t="s">
        <v>155</v>
      </c>
      <c r="J46" s="27" t="s">
        <v>156</v>
      </c>
      <c r="K46" s="26">
        <v>-670</v>
      </c>
      <c r="L46" s="26" t="s">
        <v>157</v>
      </c>
      <c r="M46" s="27" t="s">
        <v>47</v>
      </c>
      <c r="N46" s="27"/>
      <c r="O46" s="28" t="s">
        <v>127</v>
      </c>
      <c r="P46" s="28" t="s">
        <v>128</v>
      </c>
    </row>
    <row r="47" spans="1:16" ht="12.75" customHeight="1" thickBot="1" x14ac:dyDescent="0.25">
      <c r="A47" s="15" t="str">
        <f t="shared" si="0"/>
        <v> AN 264.107 </v>
      </c>
      <c r="B47" s="6" t="str">
        <f t="shared" si="1"/>
        <v>I</v>
      </c>
      <c r="C47" s="15">
        <f t="shared" si="2"/>
        <v>28690.397000000001</v>
      </c>
      <c r="D47" s="17" t="str">
        <f t="shared" si="3"/>
        <v>vis</v>
      </c>
      <c r="E47" s="25">
        <f>VLOOKUP(C47,'Active 1'!C$21:E$973,3,FALSE)</f>
        <v>-666.80200501253148</v>
      </c>
      <c r="F47" s="6" t="s">
        <v>41</v>
      </c>
      <c r="G47" s="17" t="str">
        <f t="shared" si="4"/>
        <v>28690.397</v>
      </c>
      <c r="H47" s="15">
        <f t="shared" si="5"/>
        <v>-667</v>
      </c>
      <c r="I47" s="26" t="s">
        <v>158</v>
      </c>
      <c r="J47" s="27" t="s">
        <v>159</v>
      </c>
      <c r="K47" s="26">
        <v>-667</v>
      </c>
      <c r="L47" s="26" t="s">
        <v>160</v>
      </c>
      <c r="M47" s="27" t="s">
        <v>47</v>
      </c>
      <c r="N47" s="27"/>
      <c r="O47" s="28" t="s">
        <v>127</v>
      </c>
      <c r="P47" s="28" t="s">
        <v>128</v>
      </c>
    </row>
    <row r="48" spans="1:16" ht="12.75" customHeight="1" thickBot="1" x14ac:dyDescent="0.25">
      <c r="A48" s="15" t="str">
        <f t="shared" si="0"/>
        <v> AN 264.107 </v>
      </c>
      <c r="B48" s="6" t="str">
        <f t="shared" si="1"/>
        <v>I</v>
      </c>
      <c r="C48" s="15">
        <f t="shared" si="2"/>
        <v>28692.365000000002</v>
      </c>
      <c r="D48" s="17" t="str">
        <f t="shared" si="3"/>
        <v>vis</v>
      </c>
      <c r="E48" s="25">
        <f>VLOOKUP(C48,'Active 1'!C$21:E$973,3,FALSE)</f>
        <v>-665.81553884711764</v>
      </c>
      <c r="F48" s="6" t="s">
        <v>41</v>
      </c>
      <c r="G48" s="17" t="str">
        <f t="shared" si="4"/>
        <v>28692.365</v>
      </c>
      <c r="H48" s="15">
        <f t="shared" si="5"/>
        <v>-666</v>
      </c>
      <c r="I48" s="26" t="s">
        <v>161</v>
      </c>
      <c r="J48" s="27" t="s">
        <v>162</v>
      </c>
      <c r="K48" s="26">
        <v>-666</v>
      </c>
      <c r="L48" s="26" t="s">
        <v>163</v>
      </c>
      <c r="M48" s="27" t="s">
        <v>47</v>
      </c>
      <c r="N48" s="27"/>
      <c r="O48" s="28" t="s">
        <v>127</v>
      </c>
      <c r="P48" s="28" t="s">
        <v>128</v>
      </c>
    </row>
    <row r="49" spans="1:16" ht="12.75" customHeight="1" thickBot="1" x14ac:dyDescent="0.25">
      <c r="A49" s="15" t="str">
        <f t="shared" si="0"/>
        <v> AN 263.166 </v>
      </c>
      <c r="B49" s="6" t="str">
        <f t="shared" si="1"/>
        <v>I</v>
      </c>
      <c r="C49" s="15">
        <f t="shared" si="2"/>
        <v>28692.43</v>
      </c>
      <c r="D49" s="17" t="str">
        <f t="shared" si="3"/>
        <v>vis</v>
      </c>
      <c r="E49" s="25">
        <f>VLOOKUP(C49,'Active 1'!C$21:E$973,3,FALSE)</f>
        <v>-665.78295739348414</v>
      </c>
      <c r="F49" s="6" t="s">
        <v>41</v>
      </c>
      <c r="G49" s="17" t="str">
        <f t="shared" si="4"/>
        <v>28692.43</v>
      </c>
      <c r="H49" s="15">
        <f t="shared" si="5"/>
        <v>-666</v>
      </c>
      <c r="I49" s="26" t="s">
        <v>164</v>
      </c>
      <c r="J49" s="27" t="s">
        <v>165</v>
      </c>
      <c r="K49" s="26">
        <v>-666</v>
      </c>
      <c r="L49" s="26" t="s">
        <v>166</v>
      </c>
      <c r="M49" s="27" t="s">
        <v>47</v>
      </c>
      <c r="N49" s="27"/>
      <c r="O49" s="28" t="s">
        <v>167</v>
      </c>
      <c r="P49" s="28" t="s">
        <v>168</v>
      </c>
    </row>
    <row r="50" spans="1:16" ht="12.75" customHeight="1" thickBot="1" x14ac:dyDescent="0.25">
      <c r="A50" s="15" t="str">
        <f t="shared" si="0"/>
        <v> AN 264.107 </v>
      </c>
      <c r="B50" s="6" t="str">
        <f t="shared" si="1"/>
        <v>I</v>
      </c>
      <c r="C50" s="15">
        <f t="shared" si="2"/>
        <v>28694.341</v>
      </c>
      <c r="D50" s="17" t="str">
        <f t="shared" si="3"/>
        <v>vis</v>
      </c>
      <c r="E50" s="25">
        <f>VLOOKUP(C50,'Active 1'!C$21:E$973,3,FALSE)</f>
        <v>-664.82506265664199</v>
      </c>
      <c r="F50" s="6" t="s">
        <v>41</v>
      </c>
      <c r="G50" s="17" t="str">
        <f t="shared" si="4"/>
        <v>28694.341</v>
      </c>
      <c r="H50" s="15">
        <f t="shared" si="5"/>
        <v>-665</v>
      </c>
      <c r="I50" s="26" t="s">
        <v>169</v>
      </c>
      <c r="J50" s="27" t="s">
        <v>170</v>
      </c>
      <c r="K50" s="26">
        <v>-665</v>
      </c>
      <c r="L50" s="26" t="s">
        <v>171</v>
      </c>
      <c r="M50" s="27" t="s">
        <v>47</v>
      </c>
      <c r="N50" s="27"/>
      <c r="O50" s="28" t="s">
        <v>127</v>
      </c>
      <c r="P50" s="28" t="s">
        <v>128</v>
      </c>
    </row>
    <row r="51" spans="1:16" ht="12.75" customHeight="1" thickBot="1" x14ac:dyDescent="0.25">
      <c r="A51" s="15" t="str">
        <f t="shared" si="0"/>
        <v> MVS 141 </v>
      </c>
      <c r="B51" s="6" t="str">
        <f t="shared" si="1"/>
        <v>I</v>
      </c>
      <c r="C51" s="15">
        <f t="shared" si="2"/>
        <v>28951.544000000002</v>
      </c>
      <c r="D51" s="17" t="str">
        <f t="shared" si="3"/>
        <v>vis</v>
      </c>
      <c r="E51" s="25">
        <f>VLOOKUP(C51,'Active 1'!C$21:E$973,3,FALSE)</f>
        <v>-535.90125313283181</v>
      </c>
      <c r="F51" s="6" t="s">
        <v>41</v>
      </c>
      <c r="G51" s="17" t="str">
        <f t="shared" si="4"/>
        <v>28951.544</v>
      </c>
      <c r="H51" s="15">
        <f t="shared" si="5"/>
        <v>-536</v>
      </c>
      <c r="I51" s="26" t="s">
        <v>172</v>
      </c>
      <c r="J51" s="27" t="s">
        <v>173</v>
      </c>
      <c r="K51" s="26">
        <v>-536</v>
      </c>
      <c r="L51" s="26" t="s">
        <v>174</v>
      </c>
      <c r="M51" s="27" t="s">
        <v>68</v>
      </c>
      <c r="N51" s="27"/>
      <c r="O51" s="28" t="s">
        <v>74</v>
      </c>
      <c r="P51" s="28" t="s">
        <v>75</v>
      </c>
    </row>
    <row r="52" spans="1:16" ht="12.75" customHeight="1" thickBot="1" x14ac:dyDescent="0.25">
      <c r="A52" s="15" t="str">
        <f t="shared" si="0"/>
        <v> MVS 141 </v>
      </c>
      <c r="B52" s="6" t="str">
        <f t="shared" si="1"/>
        <v>I</v>
      </c>
      <c r="C52" s="15">
        <f t="shared" si="2"/>
        <v>28953.550999999999</v>
      </c>
      <c r="D52" s="17" t="str">
        <f t="shared" si="3"/>
        <v>vis</v>
      </c>
      <c r="E52" s="25">
        <f>VLOOKUP(C52,'Active 1'!C$21:E$973,3,FALSE)</f>
        <v>-534.89523809523894</v>
      </c>
      <c r="F52" s="6" t="s">
        <v>41</v>
      </c>
      <c r="G52" s="17" t="str">
        <f t="shared" si="4"/>
        <v>28953.551</v>
      </c>
      <c r="H52" s="15">
        <f t="shared" si="5"/>
        <v>-535</v>
      </c>
      <c r="I52" s="26" t="s">
        <v>175</v>
      </c>
      <c r="J52" s="27" t="s">
        <v>176</v>
      </c>
      <c r="K52" s="26">
        <v>-535</v>
      </c>
      <c r="L52" s="26" t="s">
        <v>177</v>
      </c>
      <c r="M52" s="27" t="s">
        <v>68</v>
      </c>
      <c r="N52" s="27"/>
      <c r="O52" s="28" t="s">
        <v>74</v>
      </c>
      <c r="P52" s="28" t="s">
        <v>75</v>
      </c>
    </row>
    <row r="53" spans="1:16" ht="12.75" customHeight="1" thickBot="1" x14ac:dyDescent="0.25">
      <c r="A53" s="15" t="str">
        <f t="shared" si="0"/>
        <v> MVS 141 </v>
      </c>
      <c r="B53" s="6" t="str">
        <f t="shared" si="1"/>
        <v>I</v>
      </c>
      <c r="C53" s="15">
        <f t="shared" si="2"/>
        <v>29007.427</v>
      </c>
      <c r="D53" s="17" t="str">
        <f t="shared" si="3"/>
        <v>vis</v>
      </c>
      <c r="E53" s="25">
        <f>VLOOKUP(C53,'Active 1'!C$21:E$973,3,FALSE)</f>
        <v>-507.88972431077769</v>
      </c>
      <c r="F53" s="6" t="s">
        <v>41</v>
      </c>
      <c r="G53" s="17" t="str">
        <f t="shared" si="4"/>
        <v>29007.427</v>
      </c>
      <c r="H53" s="15">
        <f t="shared" si="5"/>
        <v>-508</v>
      </c>
      <c r="I53" s="26" t="s">
        <v>178</v>
      </c>
      <c r="J53" s="27" t="s">
        <v>179</v>
      </c>
      <c r="K53" s="26">
        <v>-508</v>
      </c>
      <c r="L53" s="26" t="s">
        <v>92</v>
      </c>
      <c r="M53" s="27" t="s">
        <v>68</v>
      </c>
      <c r="N53" s="27"/>
      <c r="O53" s="28" t="s">
        <v>74</v>
      </c>
      <c r="P53" s="28" t="s">
        <v>75</v>
      </c>
    </row>
    <row r="54" spans="1:16" ht="12.75" customHeight="1" thickBot="1" x14ac:dyDescent="0.25">
      <c r="A54" s="15" t="str">
        <f t="shared" si="0"/>
        <v> MVS 141 </v>
      </c>
      <c r="B54" s="6" t="str">
        <f t="shared" si="1"/>
        <v>I</v>
      </c>
      <c r="C54" s="15">
        <f t="shared" si="2"/>
        <v>29374.440999999999</v>
      </c>
      <c r="D54" s="17" t="str">
        <f t="shared" si="3"/>
        <v>vis</v>
      </c>
      <c r="E54" s="25">
        <f>VLOOKUP(C54,'Active 1'!C$21:E$973,3,FALSE)</f>
        <v>-323.92280701754504</v>
      </c>
      <c r="F54" s="6" t="s">
        <v>41</v>
      </c>
      <c r="G54" s="17" t="str">
        <f t="shared" si="4"/>
        <v>29374.441</v>
      </c>
      <c r="H54" s="15">
        <f t="shared" si="5"/>
        <v>-324</v>
      </c>
      <c r="I54" s="26" t="s">
        <v>180</v>
      </c>
      <c r="J54" s="27" t="s">
        <v>181</v>
      </c>
      <c r="K54" s="26">
        <v>-324</v>
      </c>
      <c r="L54" s="26" t="s">
        <v>182</v>
      </c>
      <c r="M54" s="27" t="s">
        <v>68</v>
      </c>
      <c r="N54" s="27"/>
      <c r="O54" s="28" t="s">
        <v>74</v>
      </c>
      <c r="P54" s="28" t="s">
        <v>75</v>
      </c>
    </row>
    <row r="55" spans="1:16" ht="12.75" customHeight="1" thickBot="1" x14ac:dyDescent="0.25">
      <c r="A55" s="15" t="str">
        <f t="shared" si="0"/>
        <v> MVS 141 </v>
      </c>
      <c r="B55" s="6" t="str">
        <f t="shared" si="1"/>
        <v>I</v>
      </c>
      <c r="C55" s="15">
        <f t="shared" si="2"/>
        <v>29376.442999999999</v>
      </c>
      <c r="D55" s="17" t="str">
        <f t="shared" si="3"/>
        <v>vis</v>
      </c>
      <c r="E55" s="25">
        <f>VLOOKUP(C55,'Active 1'!C$21:E$973,3,FALSE)</f>
        <v>-322.91929824561498</v>
      </c>
      <c r="F55" s="6" t="s">
        <v>41</v>
      </c>
      <c r="G55" s="17" t="str">
        <f t="shared" si="4"/>
        <v>29376.443</v>
      </c>
      <c r="H55" s="15">
        <f t="shared" si="5"/>
        <v>-323</v>
      </c>
      <c r="I55" s="26" t="s">
        <v>183</v>
      </c>
      <c r="J55" s="27" t="s">
        <v>184</v>
      </c>
      <c r="K55" s="26">
        <v>-323</v>
      </c>
      <c r="L55" s="26" t="s">
        <v>185</v>
      </c>
      <c r="M55" s="27" t="s">
        <v>68</v>
      </c>
      <c r="N55" s="27"/>
      <c r="O55" s="28" t="s">
        <v>74</v>
      </c>
      <c r="P55" s="28" t="s">
        <v>75</v>
      </c>
    </row>
    <row r="56" spans="1:16" ht="12.75" customHeight="1" thickBot="1" x14ac:dyDescent="0.25">
      <c r="A56" s="15" t="str">
        <f t="shared" si="0"/>
        <v> MVS 141 </v>
      </c>
      <c r="B56" s="6" t="str">
        <f t="shared" si="1"/>
        <v>I</v>
      </c>
      <c r="C56" s="15">
        <f t="shared" si="2"/>
        <v>29400.415000000001</v>
      </c>
      <c r="D56" s="17" t="str">
        <f t="shared" si="3"/>
        <v>vis</v>
      </c>
      <c r="E56" s="25">
        <f>VLOOKUP(C56,'Active 1'!C$21:E$973,3,FALSE)</f>
        <v>-310.90325814536362</v>
      </c>
      <c r="F56" s="6" t="s">
        <v>41</v>
      </c>
      <c r="G56" s="17" t="str">
        <f t="shared" si="4"/>
        <v>29400.415</v>
      </c>
      <c r="H56" s="15">
        <f t="shared" si="5"/>
        <v>-311</v>
      </c>
      <c r="I56" s="26" t="s">
        <v>186</v>
      </c>
      <c r="J56" s="27" t="s">
        <v>187</v>
      </c>
      <c r="K56" s="26">
        <v>-311</v>
      </c>
      <c r="L56" s="26" t="s">
        <v>188</v>
      </c>
      <c r="M56" s="27" t="s">
        <v>68</v>
      </c>
      <c r="N56" s="27"/>
      <c r="O56" s="28" t="s">
        <v>74</v>
      </c>
      <c r="P56" s="28" t="s">
        <v>75</v>
      </c>
    </row>
    <row r="57" spans="1:16" ht="12.75" customHeight="1" thickBot="1" x14ac:dyDescent="0.25">
      <c r="A57" s="15" t="str">
        <f t="shared" si="0"/>
        <v> HA 113.77 </v>
      </c>
      <c r="B57" s="6" t="str">
        <f t="shared" si="1"/>
        <v>I</v>
      </c>
      <c r="C57" s="15">
        <f t="shared" si="2"/>
        <v>29442.272000000001</v>
      </c>
      <c r="D57" s="17" t="str">
        <f t="shared" si="3"/>
        <v>vis</v>
      </c>
      <c r="E57" s="25">
        <f>VLOOKUP(C57,'Active 1'!C$21:E$973,3,FALSE)</f>
        <v>-289.92230576441125</v>
      </c>
      <c r="F57" s="6" t="s">
        <v>41</v>
      </c>
      <c r="G57" s="17" t="str">
        <f t="shared" si="4"/>
        <v>29442.272</v>
      </c>
      <c r="H57" s="15">
        <f t="shared" si="5"/>
        <v>-290</v>
      </c>
      <c r="I57" s="26" t="s">
        <v>189</v>
      </c>
      <c r="J57" s="27" t="s">
        <v>190</v>
      </c>
      <c r="K57" s="26">
        <v>-290</v>
      </c>
      <c r="L57" s="26" t="s">
        <v>191</v>
      </c>
      <c r="M57" s="27" t="s">
        <v>43</v>
      </c>
      <c r="N57" s="27"/>
      <c r="O57" s="28" t="s">
        <v>192</v>
      </c>
      <c r="P57" s="28" t="s">
        <v>193</v>
      </c>
    </row>
    <row r="58" spans="1:16" ht="12.75" customHeight="1" thickBot="1" x14ac:dyDescent="0.25">
      <c r="A58" s="15" t="str">
        <f t="shared" si="0"/>
        <v> MVS 141 </v>
      </c>
      <c r="B58" s="6" t="str">
        <f t="shared" si="1"/>
        <v>I</v>
      </c>
      <c r="C58" s="15">
        <f t="shared" si="2"/>
        <v>29727.499</v>
      </c>
      <c r="D58" s="17" t="str">
        <f t="shared" si="3"/>
        <v>vis</v>
      </c>
      <c r="E58" s="25">
        <f>VLOOKUP(C58,'Active 1'!C$21:E$973,3,FALSE)</f>
        <v>-146.95137844611602</v>
      </c>
      <c r="F58" s="6" t="s">
        <v>41</v>
      </c>
      <c r="G58" s="17" t="str">
        <f t="shared" si="4"/>
        <v>29727.499</v>
      </c>
      <c r="H58" s="15">
        <f t="shared" si="5"/>
        <v>-147</v>
      </c>
      <c r="I58" s="26" t="s">
        <v>194</v>
      </c>
      <c r="J58" s="27" t="s">
        <v>195</v>
      </c>
      <c r="K58" s="26">
        <v>-147</v>
      </c>
      <c r="L58" s="26" t="s">
        <v>140</v>
      </c>
      <c r="M58" s="27" t="s">
        <v>68</v>
      </c>
      <c r="N58" s="27"/>
      <c r="O58" s="28" t="s">
        <v>74</v>
      </c>
      <c r="P58" s="28" t="s">
        <v>75</v>
      </c>
    </row>
    <row r="59" spans="1:16" ht="12.75" customHeight="1" thickBot="1" x14ac:dyDescent="0.25">
      <c r="A59" s="15" t="str">
        <f t="shared" si="0"/>
        <v> MVS 141 </v>
      </c>
      <c r="B59" s="6" t="str">
        <f t="shared" si="1"/>
        <v>I</v>
      </c>
      <c r="C59" s="15">
        <f t="shared" si="2"/>
        <v>29747.428</v>
      </c>
      <c r="D59" s="17" t="str">
        <f t="shared" si="3"/>
        <v>vis</v>
      </c>
      <c r="E59" s="25">
        <f>VLOOKUP(C59,'Active 1'!C$21:E$973,3,FALSE)</f>
        <v>-136.96190476190546</v>
      </c>
      <c r="F59" s="6" t="s">
        <v>41</v>
      </c>
      <c r="G59" s="17" t="str">
        <f t="shared" si="4"/>
        <v>29747.428</v>
      </c>
      <c r="H59" s="15">
        <f t="shared" si="5"/>
        <v>-137</v>
      </c>
      <c r="I59" s="26" t="s">
        <v>196</v>
      </c>
      <c r="J59" s="27" t="s">
        <v>197</v>
      </c>
      <c r="K59" s="26">
        <v>-137</v>
      </c>
      <c r="L59" s="26" t="s">
        <v>198</v>
      </c>
      <c r="M59" s="27" t="s">
        <v>68</v>
      </c>
      <c r="N59" s="27"/>
      <c r="O59" s="28" t="s">
        <v>74</v>
      </c>
      <c r="P59" s="28" t="s">
        <v>75</v>
      </c>
    </row>
    <row r="60" spans="1:16" ht="12.75" customHeight="1" thickBot="1" x14ac:dyDescent="0.25">
      <c r="A60" s="15" t="str">
        <f t="shared" si="0"/>
        <v> MVS 141 </v>
      </c>
      <c r="B60" s="6" t="str">
        <f t="shared" si="1"/>
        <v>I</v>
      </c>
      <c r="C60" s="15">
        <f t="shared" si="2"/>
        <v>30377.651000000002</v>
      </c>
      <c r="D60" s="17" t="str">
        <f t="shared" si="3"/>
        <v>vis</v>
      </c>
      <c r="E60" s="25">
        <f>VLOOKUP(C60,'Active 1'!C$21:E$973,3,FALSE)</f>
        <v>178.93934837092749</v>
      </c>
      <c r="F60" s="6" t="s">
        <v>41</v>
      </c>
      <c r="G60" s="17" t="str">
        <f t="shared" si="4"/>
        <v>30377.651</v>
      </c>
      <c r="H60" s="15">
        <f t="shared" si="5"/>
        <v>179</v>
      </c>
      <c r="I60" s="26" t="s">
        <v>199</v>
      </c>
      <c r="J60" s="27" t="s">
        <v>200</v>
      </c>
      <c r="K60" s="26">
        <v>179</v>
      </c>
      <c r="L60" s="26" t="s">
        <v>73</v>
      </c>
      <c r="M60" s="27" t="s">
        <v>68</v>
      </c>
      <c r="N60" s="27"/>
      <c r="O60" s="28" t="s">
        <v>74</v>
      </c>
      <c r="P60" s="28" t="s">
        <v>75</v>
      </c>
    </row>
    <row r="61" spans="1:16" ht="12.75" customHeight="1" thickBot="1" x14ac:dyDescent="0.25">
      <c r="A61" s="15" t="str">
        <f t="shared" si="0"/>
        <v> MVS 141 </v>
      </c>
      <c r="B61" s="6" t="str">
        <f t="shared" si="1"/>
        <v>I</v>
      </c>
      <c r="C61" s="15">
        <f t="shared" si="2"/>
        <v>30431.578000000001</v>
      </c>
      <c r="D61" s="17" t="str">
        <f t="shared" si="3"/>
        <v>vis</v>
      </c>
      <c r="E61" s="25">
        <f>VLOOKUP(C61,'Active 1'!C$21:E$973,3,FALSE)</f>
        <v>205.97042606516291</v>
      </c>
      <c r="F61" s="6" t="s">
        <v>41</v>
      </c>
      <c r="G61" s="17" t="str">
        <f t="shared" si="4"/>
        <v>30431.578</v>
      </c>
      <c r="H61" s="15">
        <f t="shared" si="5"/>
        <v>206</v>
      </c>
      <c r="I61" s="26" t="s">
        <v>201</v>
      </c>
      <c r="J61" s="27" t="s">
        <v>202</v>
      </c>
      <c r="K61" s="26">
        <v>206</v>
      </c>
      <c r="L61" s="26" t="s">
        <v>203</v>
      </c>
      <c r="M61" s="27" t="s">
        <v>68</v>
      </c>
      <c r="N61" s="27"/>
      <c r="O61" s="28" t="s">
        <v>74</v>
      </c>
      <c r="P61" s="28" t="s">
        <v>75</v>
      </c>
    </row>
    <row r="62" spans="1:16" ht="12.75" customHeight="1" thickBot="1" x14ac:dyDescent="0.25">
      <c r="A62" s="15" t="str">
        <f t="shared" si="0"/>
        <v> MVS 141 </v>
      </c>
      <c r="B62" s="6" t="str">
        <f t="shared" si="1"/>
        <v>I</v>
      </c>
      <c r="C62" s="15">
        <f t="shared" si="2"/>
        <v>30457.491000000002</v>
      </c>
      <c r="D62" s="17" t="str">
        <f t="shared" si="3"/>
        <v>vis</v>
      </c>
      <c r="E62" s="25">
        <f>VLOOKUP(C62,'Active 1'!C$21:E$973,3,FALSE)</f>
        <v>218.95939849624085</v>
      </c>
      <c r="F62" s="6" t="s">
        <v>41</v>
      </c>
      <c r="G62" s="17" t="str">
        <f t="shared" si="4"/>
        <v>30457.491</v>
      </c>
      <c r="H62" s="15">
        <f t="shared" si="5"/>
        <v>219</v>
      </c>
      <c r="I62" s="26" t="s">
        <v>204</v>
      </c>
      <c r="J62" s="27" t="s">
        <v>205</v>
      </c>
      <c r="K62" s="26">
        <v>219</v>
      </c>
      <c r="L62" s="26" t="s">
        <v>206</v>
      </c>
      <c r="M62" s="27" t="s">
        <v>68</v>
      </c>
      <c r="N62" s="27"/>
      <c r="O62" s="28" t="s">
        <v>74</v>
      </c>
      <c r="P62" s="28" t="s">
        <v>75</v>
      </c>
    </row>
    <row r="63" spans="1:16" ht="12.75" customHeight="1" thickBot="1" x14ac:dyDescent="0.25">
      <c r="A63" s="15" t="str">
        <f t="shared" si="0"/>
        <v> MVS 141 </v>
      </c>
      <c r="B63" s="6" t="str">
        <f t="shared" si="1"/>
        <v>I</v>
      </c>
      <c r="C63" s="15">
        <f t="shared" si="2"/>
        <v>30461.451000000001</v>
      </c>
      <c r="D63" s="17" t="str">
        <f t="shared" si="3"/>
        <v>vis</v>
      </c>
      <c r="E63" s="25">
        <f>VLOOKUP(C63,'Active 1'!C$21:E$973,3,FALSE)</f>
        <v>220.94436090225545</v>
      </c>
      <c r="F63" s="6" t="s">
        <v>41</v>
      </c>
      <c r="G63" s="17" t="str">
        <f t="shared" si="4"/>
        <v>30461.451</v>
      </c>
      <c r="H63" s="15">
        <f t="shared" si="5"/>
        <v>221</v>
      </c>
      <c r="I63" s="26" t="s">
        <v>207</v>
      </c>
      <c r="J63" s="27" t="s">
        <v>208</v>
      </c>
      <c r="K63" s="26">
        <v>221</v>
      </c>
      <c r="L63" s="26" t="s">
        <v>209</v>
      </c>
      <c r="M63" s="27" t="s">
        <v>68</v>
      </c>
      <c r="N63" s="27"/>
      <c r="O63" s="28" t="s">
        <v>74</v>
      </c>
      <c r="P63" s="28" t="s">
        <v>75</v>
      </c>
    </row>
    <row r="64" spans="1:16" ht="12.75" customHeight="1" thickBot="1" x14ac:dyDescent="0.25">
      <c r="A64" s="15" t="str">
        <f t="shared" si="0"/>
        <v> MVS 141 </v>
      </c>
      <c r="B64" s="6" t="str">
        <f t="shared" si="1"/>
        <v>I</v>
      </c>
      <c r="C64" s="15">
        <f t="shared" si="2"/>
        <v>30465.428</v>
      </c>
      <c r="D64" s="17" t="str">
        <f t="shared" si="3"/>
        <v>vis</v>
      </c>
      <c r="E64" s="25">
        <f>VLOOKUP(C64,'Active 1'!C$21:E$973,3,FALSE)</f>
        <v>222.93784461152811</v>
      </c>
      <c r="F64" s="6" t="s">
        <v>41</v>
      </c>
      <c r="G64" s="17" t="str">
        <f t="shared" si="4"/>
        <v>30465.428</v>
      </c>
      <c r="H64" s="15">
        <f t="shared" si="5"/>
        <v>223</v>
      </c>
      <c r="I64" s="26" t="s">
        <v>210</v>
      </c>
      <c r="J64" s="27" t="s">
        <v>211</v>
      </c>
      <c r="K64" s="26">
        <v>223</v>
      </c>
      <c r="L64" s="26" t="s">
        <v>212</v>
      </c>
      <c r="M64" s="27" t="s">
        <v>68</v>
      </c>
      <c r="N64" s="27"/>
      <c r="O64" s="28" t="s">
        <v>74</v>
      </c>
      <c r="P64" s="28" t="s">
        <v>75</v>
      </c>
    </row>
    <row r="65" spans="1:16" ht="12.75" customHeight="1" thickBot="1" x14ac:dyDescent="0.25">
      <c r="A65" s="15" t="str">
        <f t="shared" si="0"/>
        <v> MVS 141 </v>
      </c>
      <c r="B65" s="6" t="str">
        <f t="shared" si="1"/>
        <v>I</v>
      </c>
      <c r="C65" s="15">
        <f t="shared" si="2"/>
        <v>30784.569</v>
      </c>
      <c r="D65" s="17" t="str">
        <f t="shared" si="3"/>
        <v>vis</v>
      </c>
      <c r="E65" s="25">
        <f>VLOOKUP(C65,'Active 1'!C$21:E$973,3,FALSE)</f>
        <v>382.90827067669085</v>
      </c>
      <c r="F65" s="6" t="s">
        <v>41</v>
      </c>
      <c r="G65" s="17" t="str">
        <f t="shared" si="4"/>
        <v>30784.569</v>
      </c>
      <c r="H65" s="15">
        <f t="shared" si="5"/>
        <v>383</v>
      </c>
      <c r="I65" s="26" t="s">
        <v>213</v>
      </c>
      <c r="J65" s="27" t="s">
        <v>214</v>
      </c>
      <c r="K65" s="26">
        <v>383</v>
      </c>
      <c r="L65" s="26" t="s">
        <v>215</v>
      </c>
      <c r="M65" s="27" t="s">
        <v>68</v>
      </c>
      <c r="N65" s="27"/>
      <c r="O65" s="28" t="s">
        <v>74</v>
      </c>
      <c r="P65" s="28" t="s">
        <v>75</v>
      </c>
    </row>
    <row r="66" spans="1:16" ht="12.75" customHeight="1" thickBot="1" x14ac:dyDescent="0.25">
      <c r="A66" s="15" t="str">
        <f t="shared" si="0"/>
        <v> MVS 141 </v>
      </c>
      <c r="B66" s="6" t="str">
        <f t="shared" si="1"/>
        <v>I</v>
      </c>
      <c r="C66" s="15">
        <f t="shared" si="2"/>
        <v>30792.562999999998</v>
      </c>
      <c r="D66" s="17" t="str">
        <f t="shared" si="3"/>
        <v>vis</v>
      </c>
      <c r="E66" s="25">
        <f>VLOOKUP(C66,'Active 1'!C$21:E$973,3,FALSE)</f>
        <v>386.91528822054988</v>
      </c>
      <c r="F66" s="6" t="s">
        <v>41</v>
      </c>
      <c r="G66" s="17" t="str">
        <f t="shared" si="4"/>
        <v>30792.563</v>
      </c>
      <c r="H66" s="15">
        <f t="shared" si="5"/>
        <v>387</v>
      </c>
      <c r="I66" s="26" t="s">
        <v>216</v>
      </c>
      <c r="J66" s="27" t="s">
        <v>217</v>
      </c>
      <c r="K66" s="26">
        <v>387</v>
      </c>
      <c r="L66" s="26" t="s">
        <v>218</v>
      </c>
      <c r="M66" s="27" t="s">
        <v>68</v>
      </c>
      <c r="N66" s="27"/>
      <c r="O66" s="28" t="s">
        <v>74</v>
      </c>
      <c r="P66" s="28" t="s">
        <v>75</v>
      </c>
    </row>
    <row r="67" spans="1:16" ht="12.75" customHeight="1" thickBot="1" x14ac:dyDescent="0.25">
      <c r="A67" s="15" t="str">
        <f t="shared" si="0"/>
        <v> MVS 141 </v>
      </c>
      <c r="B67" s="6" t="str">
        <f t="shared" si="1"/>
        <v>I</v>
      </c>
      <c r="C67" s="15">
        <f t="shared" si="2"/>
        <v>30818.506000000001</v>
      </c>
      <c r="D67" s="17" t="str">
        <f t="shared" si="3"/>
        <v>vis</v>
      </c>
      <c r="E67" s="25">
        <f>VLOOKUP(C67,'Active 1'!C$21:E$973,3,FALSE)</f>
        <v>399.91929824561396</v>
      </c>
      <c r="F67" s="6" t="s">
        <v>41</v>
      </c>
      <c r="G67" s="17" t="str">
        <f t="shared" si="4"/>
        <v>30818.506</v>
      </c>
      <c r="H67" s="15">
        <f t="shared" si="5"/>
        <v>400</v>
      </c>
      <c r="I67" s="26" t="s">
        <v>219</v>
      </c>
      <c r="J67" s="27" t="s">
        <v>220</v>
      </c>
      <c r="K67" s="26">
        <v>400</v>
      </c>
      <c r="L67" s="26" t="s">
        <v>221</v>
      </c>
      <c r="M67" s="27" t="s">
        <v>68</v>
      </c>
      <c r="N67" s="27"/>
      <c r="O67" s="28" t="s">
        <v>74</v>
      </c>
      <c r="P67" s="28" t="s">
        <v>75</v>
      </c>
    </row>
    <row r="68" spans="1:16" ht="12.75" customHeight="1" thickBot="1" x14ac:dyDescent="0.25">
      <c r="A68" s="15" t="str">
        <f t="shared" si="0"/>
        <v> MVS 141 </v>
      </c>
      <c r="B68" s="6" t="str">
        <f t="shared" si="1"/>
        <v>I</v>
      </c>
      <c r="C68" s="15">
        <f t="shared" si="2"/>
        <v>30820.455000000002</v>
      </c>
      <c r="D68" s="17" t="str">
        <f t="shared" si="3"/>
        <v>vis</v>
      </c>
      <c r="E68" s="25">
        <f>VLOOKUP(C68,'Active 1'!C$21:E$973,3,FALSE)</f>
        <v>400.89624060150396</v>
      </c>
      <c r="F68" s="6" t="s">
        <v>41</v>
      </c>
      <c r="G68" s="17" t="str">
        <f t="shared" si="4"/>
        <v>30820.455</v>
      </c>
      <c r="H68" s="15">
        <f t="shared" si="5"/>
        <v>401</v>
      </c>
      <c r="I68" s="26" t="s">
        <v>222</v>
      </c>
      <c r="J68" s="27" t="s">
        <v>223</v>
      </c>
      <c r="K68" s="26">
        <v>401</v>
      </c>
      <c r="L68" s="26" t="s">
        <v>224</v>
      </c>
      <c r="M68" s="27" t="s">
        <v>68</v>
      </c>
      <c r="N68" s="27"/>
      <c r="O68" s="28" t="s">
        <v>74</v>
      </c>
      <c r="P68" s="28" t="s">
        <v>75</v>
      </c>
    </row>
    <row r="69" spans="1:16" ht="12.75" customHeight="1" thickBot="1" x14ac:dyDescent="0.25">
      <c r="A69" s="15" t="str">
        <f t="shared" si="0"/>
        <v> MVS 141 </v>
      </c>
      <c r="B69" s="6" t="str">
        <f t="shared" si="1"/>
        <v>I</v>
      </c>
      <c r="C69" s="15">
        <f t="shared" si="2"/>
        <v>30848.409</v>
      </c>
      <c r="D69" s="17" t="str">
        <f t="shared" si="3"/>
        <v>vis</v>
      </c>
      <c r="E69" s="25">
        <f>VLOOKUP(C69,'Active 1'!C$21:E$973,3,FALSE)</f>
        <v>414.9082706766909</v>
      </c>
      <c r="F69" s="6" t="s">
        <v>41</v>
      </c>
      <c r="G69" s="17" t="str">
        <f t="shared" si="4"/>
        <v>30848.409</v>
      </c>
      <c r="H69" s="15">
        <f t="shared" si="5"/>
        <v>415</v>
      </c>
      <c r="I69" s="26" t="s">
        <v>225</v>
      </c>
      <c r="J69" s="27" t="s">
        <v>226</v>
      </c>
      <c r="K69" s="26">
        <v>415</v>
      </c>
      <c r="L69" s="26" t="s">
        <v>227</v>
      </c>
      <c r="M69" s="27" t="s">
        <v>68</v>
      </c>
      <c r="N69" s="27"/>
      <c r="O69" s="28" t="s">
        <v>74</v>
      </c>
      <c r="P69" s="28" t="s">
        <v>75</v>
      </c>
    </row>
    <row r="70" spans="1:16" ht="12.75" customHeight="1" thickBot="1" x14ac:dyDescent="0.25">
      <c r="A70" s="15" t="str">
        <f t="shared" si="0"/>
        <v> BBS 123 </v>
      </c>
      <c r="B70" s="6" t="str">
        <f t="shared" si="1"/>
        <v>II</v>
      </c>
      <c r="C70" s="15">
        <f t="shared" si="2"/>
        <v>51642.483999999997</v>
      </c>
      <c r="D70" s="17" t="str">
        <f t="shared" si="3"/>
        <v>vis</v>
      </c>
      <c r="E70" s="25">
        <f>VLOOKUP(C70,'Active 1'!C$21:E$973,3,FALSE)</f>
        <v>10838.003508771926</v>
      </c>
      <c r="F70" s="6" t="s">
        <v>41</v>
      </c>
      <c r="G70" s="17" t="str">
        <f t="shared" si="4"/>
        <v>51642.484</v>
      </c>
      <c r="H70" s="15">
        <f t="shared" si="5"/>
        <v>10839.5</v>
      </c>
      <c r="I70" s="26" t="s">
        <v>228</v>
      </c>
      <c r="J70" s="27" t="s">
        <v>229</v>
      </c>
      <c r="K70" s="26">
        <v>10839.5</v>
      </c>
      <c r="L70" s="26" t="s">
        <v>230</v>
      </c>
      <c r="M70" s="27" t="s">
        <v>231</v>
      </c>
      <c r="N70" s="27" t="s">
        <v>232</v>
      </c>
      <c r="O70" s="28" t="s">
        <v>233</v>
      </c>
      <c r="P70" s="28" t="s">
        <v>234</v>
      </c>
    </row>
    <row r="71" spans="1:16" ht="12.75" customHeight="1" thickBot="1" x14ac:dyDescent="0.25">
      <c r="A71" s="15" t="str">
        <f t="shared" si="0"/>
        <v>BAVM 143 </v>
      </c>
      <c r="B71" s="6" t="str">
        <f t="shared" si="1"/>
        <v>II</v>
      </c>
      <c r="C71" s="15">
        <f t="shared" si="2"/>
        <v>52019.417000000001</v>
      </c>
      <c r="D71" s="17" t="str">
        <f t="shared" si="3"/>
        <v>vis</v>
      </c>
      <c r="E71" s="25">
        <f>VLOOKUP(C71,'Active 1'!C$21:E$973,3,FALSE)</f>
        <v>11026.942355889723</v>
      </c>
      <c r="F71" s="6" t="s">
        <v>41</v>
      </c>
      <c r="G71" s="17" t="str">
        <f t="shared" si="4"/>
        <v>52019.417</v>
      </c>
      <c r="H71" s="15">
        <f t="shared" si="5"/>
        <v>11028.5</v>
      </c>
      <c r="I71" s="26" t="s">
        <v>235</v>
      </c>
      <c r="J71" s="27" t="s">
        <v>236</v>
      </c>
      <c r="K71" s="26">
        <v>11028.5</v>
      </c>
      <c r="L71" s="26" t="s">
        <v>237</v>
      </c>
      <c r="M71" s="27" t="s">
        <v>47</v>
      </c>
      <c r="N71" s="27"/>
      <c r="O71" s="28" t="s">
        <v>238</v>
      </c>
      <c r="P71" s="29" t="s">
        <v>239</v>
      </c>
    </row>
    <row r="72" spans="1:16" ht="12.75" customHeight="1" thickBot="1" x14ac:dyDescent="0.25">
      <c r="A72" s="15" t="str">
        <f t="shared" si="0"/>
        <v>BAVM 143 </v>
      </c>
      <c r="B72" s="6" t="str">
        <f t="shared" si="1"/>
        <v>II</v>
      </c>
      <c r="C72" s="15">
        <f t="shared" si="2"/>
        <v>52023.402999999998</v>
      </c>
      <c r="D72" s="17" t="str">
        <f t="shared" si="3"/>
        <v>vis</v>
      </c>
      <c r="E72" s="25">
        <f>VLOOKUP(C72,'Active 1'!C$21:E$973,3,FALSE)</f>
        <v>11028.94035087719</v>
      </c>
      <c r="F72" s="6" t="s">
        <v>41</v>
      </c>
      <c r="G72" s="17" t="str">
        <f t="shared" si="4"/>
        <v>52023.403</v>
      </c>
      <c r="H72" s="15">
        <f t="shared" si="5"/>
        <v>11030.5</v>
      </c>
      <c r="I72" s="26" t="s">
        <v>240</v>
      </c>
      <c r="J72" s="27" t="s">
        <v>241</v>
      </c>
      <c r="K72" s="26">
        <v>11030.5</v>
      </c>
      <c r="L72" s="26" t="s">
        <v>242</v>
      </c>
      <c r="M72" s="27" t="s">
        <v>47</v>
      </c>
      <c r="N72" s="27"/>
      <c r="O72" s="28" t="s">
        <v>238</v>
      </c>
      <c r="P72" s="29" t="s">
        <v>239</v>
      </c>
    </row>
    <row r="73" spans="1:16" x14ac:dyDescent="0.2">
      <c r="B73" s="6"/>
      <c r="F73" s="6"/>
    </row>
    <row r="74" spans="1:16" x14ac:dyDescent="0.2">
      <c r="B74" s="6"/>
      <c r="F74" s="6"/>
    </row>
    <row r="75" spans="1:16" x14ac:dyDescent="0.2">
      <c r="B75" s="6"/>
      <c r="F75" s="6"/>
    </row>
    <row r="76" spans="1:16" x14ac:dyDescent="0.2">
      <c r="B76" s="6"/>
      <c r="F76" s="6"/>
    </row>
    <row r="77" spans="1:16" x14ac:dyDescent="0.2">
      <c r="B77" s="6"/>
      <c r="F77" s="6"/>
    </row>
    <row r="78" spans="1:16" x14ac:dyDescent="0.2">
      <c r="B78" s="6"/>
      <c r="F78" s="6"/>
    </row>
    <row r="79" spans="1:16" x14ac:dyDescent="0.2">
      <c r="B79" s="6"/>
      <c r="F79" s="6"/>
    </row>
    <row r="80" spans="1:1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</sheetData>
  <phoneticPr fontId="7" type="noConversion"/>
  <hyperlinks>
    <hyperlink ref="A3" r:id="rId1"/>
    <hyperlink ref="P71" r:id="rId2" display="http://www.bav-astro.de/sfs/BAVM_link.php?BAVMnr=143"/>
    <hyperlink ref="P72" r:id="rId3" display="http://www.bav-astro.de/sfs/BAVM_link.php?BAVMnr=14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2023-08-22T08:41:12Z</dcterms:modified>
</cp:coreProperties>
</file>