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C7CEE60-3AB4-4251-9D6A-F2B77B2F206A}" xr6:coauthVersionLast="47" xr6:coauthVersionMax="47" xr10:uidLastSave="{00000000-0000-0000-0000-000000000000}"/>
  <bookViews>
    <workbookView xWindow="13665" yWindow="525" windowWidth="13230" windowHeight="142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I27" i="1" s="1"/>
  <c r="Q27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I26" i="1"/>
  <c r="Q22" i="1"/>
  <c r="Q23" i="1"/>
  <c r="Q24" i="1"/>
  <c r="Q25" i="1"/>
  <c r="Q26" i="1"/>
  <c r="D9" i="1"/>
  <c r="E21" i="1"/>
  <c r="F21" i="1"/>
  <c r="G21" i="1"/>
  <c r="I21" i="1"/>
  <c r="E9" i="1"/>
  <c r="F16" i="1"/>
  <c r="F17" i="1" s="1"/>
  <c r="C17" i="1"/>
  <c r="Q21" i="1"/>
  <c r="C11" i="1"/>
  <c r="C12" i="1"/>
  <c r="O27" i="1" l="1"/>
  <c r="R27" i="1" s="1"/>
  <c r="C16" i="1"/>
  <c r="D18" i="1" s="1"/>
  <c r="O21" i="1"/>
  <c r="R21" i="1" s="1"/>
  <c r="O25" i="1"/>
  <c r="R25" i="1" s="1"/>
  <c r="O26" i="1"/>
  <c r="R26" i="1" s="1"/>
  <c r="O24" i="1"/>
  <c r="R24" i="1" s="1"/>
  <c r="C15" i="1"/>
  <c r="O23" i="1"/>
  <c r="R23" i="1" s="1"/>
  <c r="O22" i="1"/>
  <c r="R22" i="1" s="1"/>
  <c r="C18" i="1" l="1"/>
  <c r="R19" i="1"/>
  <c r="F18" i="1"/>
  <c r="F19" i="1" s="1"/>
</calcChain>
</file>

<file path=xl/sharedStrings.xml><?xml version="1.0" encoding="utf-8"?>
<sst xmlns="http://schemas.openxmlformats.org/spreadsheetml/2006/main" count="72" uniqueCount="63">
  <si>
    <t>OEJV 0191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</si>
  <si>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</si>
  <si>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</si>
  <si>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</si>
  <si>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</si>
  <si>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</si>
  <si>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</si>
  <si>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</si>
  <si>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</si>
  <si>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</si>
  <si>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</si>
  <si>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</si>
  <si>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</si>
  <si>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</si>
  <si>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</si>
  <si>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</si>
  <si>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</si>
  <si>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</si>
  <si>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</si>
  <si>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</si>
  <si>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</si>
  <si>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</si>
  <si>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</si>
  <si>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</si>
  <si>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</si>
  <si>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</si>
  <si>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</si>
  <si>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</si>
  <si>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</si>
  <si>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</si>
  <si>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</si>
  <si>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</si>
  <si>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</si>
  <si>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</si>
  <si>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</si>
  <si>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</si>
  <si>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</si>
  <si>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</si>
  <si>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</si>
  <si>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</si>
  <si>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</si>
  <si>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</si>
  <si>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</si>
  <si>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V0614 Vir</t>
  </si>
  <si>
    <t>2019G</t>
  </si>
  <si>
    <t>G0279-0035</t>
  </si>
  <si>
    <t>EA</t>
  </si>
  <si>
    <t>pr_</t>
  </si>
  <si>
    <t>K2</t>
  </si>
  <si>
    <t>V0614</t>
  </si>
  <si>
    <t>0614</t>
  </si>
  <si>
    <t>Vir</t>
  </si>
  <si>
    <t>yes</t>
  </si>
  <si>
    <t>V0614 Vir / GSC 0279-0035</t>
  </si>
  <si>
    <t>as of 2019-07-08</t>
  </si>
  <si>
    <t>GCVS</t>
  </si>
  <si>
    <t>IBVS 5945</t>
  </si>
  <si>
    <t>IBVS 5992</t>
  </si>
  <si>
    <t>II</t>
  </si>
  <si>
    <t>IBVS 6029</t>
  </si>
  <si>
    <t>IBVS 6130</t>
  </si>
  <si>
    <t>Checked by ToMcat 2019-07-14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</si>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</sst>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5" fillId="24" borderId="5" xfId="0" applyFont="1" applyFill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5" fillId="0" borderId="5" xfId="0" applyFont="1" applyFill="1" applyBorder="1" applyAlignment="1">
      <alignment horizontal="left" vertical="center"/>
    </xf>
    <xf numFmtId="0" fontId="18" fillId="0" borderId="0" xfId="0" applyFont="1">
      <alignment vertical="top"/>
    </xf>
    <xf numFmtId="0" fontId="8" fillId="0" borderId="0" xfId="41" applyFont="1" applyAlignment="1">
      <alignment horizontal="left"/>
    </xf>
    <xf numFmtId="0" fontId="8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center" wrapText="1"/>
    </xf>
    <xf numFmtId="0" fontId="9" fillId="0" borderId="0" xfId="0" applyFont="1" applyAlignme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2" fontId="36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V0614 Vir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27-4143-8102-D110D6E84E0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5">
                  <c:v>4.3879999066120945E-3</c:v>
                </c:pt>
                <c:pt idx="6">
                  <c:v>1.1919999909878243E-2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27-4143-8102-D110D6E84E0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27-4143-8102-D110D6E84E0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-1.9200009410269558E-4</c:v>
                </c:pt>
                <c:pt idx="2">
                  <c:v>1.665999909164384E-3</c:v>
                </c:pt>
                <c:pt idx="3">
                  <c:v>-8.7600009283050895E-4</c:v>
                </c:pt>
                <c:pt idx="4">
                  <c:v>1.9319999046274461E-3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27-4143-8102-D110D6E84E0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27-4143-8102-D110D6E84E0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27-4143-8102-D110D6E84E0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27-4143-8102-D110D6E84E0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-1.5619139444747092E-3</c:v>
                </c:pt>
                <c:pt idx="1">
                  <c:v>-4.1209929337493413E-4</c:v>
                </c:pt>
                <c:pt idx="2">
                  <c:v>3.9387126349643958E-4</c:v>
                </c:pt>
                <c:pt idx="3">
                  <c:v>1.1998418203678128E-3</c:v>
                </c:pt>
                <c:pt idx="4">
                  <c:v>3.0373446599243912E-3</c:v>
                </c:pt>
                <c:pt idx="5">
                  <c:v>5.8596169853511121E-3</c:v>
                </c:pt>
                <c:pt idx="6">
                  <c:v>1.0321337952058852E-2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27-4143-8102-D110D6E84E0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27-4143-8102-D110D6E84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686648"/>
        <c:axId val="1"/>
      </c:scatterChart>
      <c:valAx>
        <c:axId val="835686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686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A2888B2-D3D0-9A22-5999-4071802F6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1.42578125" customWidth="1"/>
  </cols>
  <sheetData>
    <row r="1" spans="1:23" ht="20.25" x14ac:dyDescent="0.3">
      <c r="A1" s="1" t="s">
        <v>53</v>
      </c>
      <c r="F1" s="31" t="s">
        <v>43</v>
      </c>
      <c r="G1" s="32" t="s">
        <v>44</v>
      </c>
      <c r="H1" s="33"/>
      <c r="I1" s="34" t="s">
        <v>45</v>
      </c>
      <c r="J1" s="35" t="s">
        <v>43</v>
      </c>
      <c r="K1" s="36">
        <v>11.5632</v>
      </c>
      <c r="L1" s="37">
        <v>7.1749999999999998</v>
      </c>
      <c r="M1" s="38">
        <v>54852.850000000093</v>
      </c>
      <c r="N1" s="38">
        <v>2.239188</v>
      </c>
      <c r="O1" s="41" t="s">
        <v>46</v>
      </c>
      <c r="P1">
        <v>9.5299999999999994</v>
      </c>
      <c r="Q1">
        <v>9.83</v>
      </c>
      <c r="R1" t="s">
        <v>47</v>
      </c>
      <c r="S1" t="s">
        <v>48</v>
      </c>
      <c r="T1" t="s">
        <v>49</v>
      </c>
      <c r="U1" t="s">
        <v>50</v>
      </c>
      <c r="V1" t="s">
        <v>51</v>
      </c>
      <c r="W1" t="s">
        <v>52</v>
      </c>
    </row>
    <row r="2" spans="1:23" x14ac:dyDescent="0.2">
      <c r="A2" t="s">
        <v>25</v>
      </c>
      <c r="B2" t="s">
        <v>46</v>
      </c>
      <c r="C2" s="30"/>
      <c r="D2" s="3"/>
    </row>
    <row r="3" spans="1:23" ht="13.5" thickBot="1" x14ac:dyDescent="0.25"/>
    <row r="4" spans="1:23" ht="14.25" thickTop="1" thickBot="1" x14ac:dyDescent="0.25">
      <c r="A4" s="5" t="s">
        <v>2</v>
      </c>
      <c r="C4" s="27">
        <v>54852.850000000093</v>
      </c>
      <c r="D4" s="28">
        <v>2.239188</v>
      </c>
      <c r="E4" s="42" t="s">
        <v>54</v>
      </c>
    </row>
    <row r="5" spans="1:23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3" x14ac:dyDescent="0.2">
      <c r="A6" s="5" t="s">
        <v>3</v>
      </c>
    </row>
    <row r="7" spans="1:23" x14ac:dyDescent="0.2">
      <c r="A7" t="s">
        <v>4</v>
      </c>
      <c r="C7" s="8">
        <v>54852.850000000093</v>
      </c>
      <c r="D7" s="29" t="s">
        <v>55</v>
      </c>
    </row>
    <row r="8" spans="1:23" x14ac:dyDescent="0.2">
      <c r="A8" t="s">
        <v>5</v>
      </c>
      <c r="C8" s="8">
        <v>2.239188</v>
      </c>
      <c r="D8" s="29" t="s">
        <v>55</v>
      </c>
      <c r="E8" s="52" t="s">
        <v>61</v>
      </c>
    </row>
    <row r="9" spans="1:23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3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3" x14ac:dyDescent="0.2">
      <c r="A11" s="10" t="s">
        <v>17</v>
      </c>
      <c r="B11" s="10"/>
      <c r="C11" s="21">
        <f ca="1">INTERCEPT(INDIRECT($E$9):G992,INDIRECT($D$9):F992)</f>
        <v>-1.5619139444747092E-3</v>
      </c>
      <c r="D11" s="3"/>
      <c r="E11" s="10"/>
    </row>
    <row r="12" spans="1:23" x14ac:dyDescent="0.2">
      <c r="A12" s="10" t="s">
        <v>18</v>
      </c>
      <c r="B12" s="10"/>
      <c r="C12" s="21">
        <f ca="1">SLOPE(INDIRECT($E$9):G992,INDIRECT($D$9):F992)</f>
        <v>5.5015055076544265E-6</v>
      </c>
      <c r="D12" s="3"/>
      <c r="E12" s="10"/>
    </row>
    <row r="13" spans="1:23" x14ac:dyDescent="0.2">
      <c r="A13" s="10" t="s">
        <v>20</v>
      </c>
      <c r="B13" s="10"/>
      <c r="C13" s="3" t="s">
        <v>15</v>
      </c>
    </row>
    <row r="14" spans="1:23" x14ac:dyDescent="0.2">
      <c r="A14" s="10"/>
      <c r="B14" s="10"/>
      <c r="C14" s="10"/>
    </row>
    <row r="15" spans="1:23" x14ac:dyDescent="0.2">
      <c r="A15" s="12" t="s">
        <v>19</v>
      </c>
      <c r="B15" s="10"/>
      <c r="C15" s="13">
        <f ca="1">(C7+C11)+(C8+C12)*INT(MAX(F21:F3533))</f>
        <v>59689.506401338047</v>
      </c>
      <c r="E15" s="14" t="s">
        <v>36</v>
      </c>
      <c r="F15" s="39">
        <v>1</v>
      </c>
    </row>
    <row r="16" spans="1:23" x14ac:dyDescent="0.2">
      <c r="A16" s="16" t="s">
        <v>6</v>
      </c>
      <c r="B16" s="10"/>
      <c r="C16" s="17">
        <f ca="1">+C8+C12</f>
        <v>2.2391935015055076</v>
      </c>
      <c r="E16" s="14" t="s">
        <v>32</v>
      </c>
      <c r="F16" s="40">
        <f ca="1">NOW()+15018.5+$C$5/24</f>
        <v>59970.548875</v>
      </c>
    </row>
    <row r="17" spans="1:21" ht="13.5" thickBot="1" x14ac:dyDescent="0.25">
      <c r="A17" s="14" t="s">
        <v>29</v>
      </c>
      <c r="B17" s="10"/>
      <c r="C17" s="10">
        <f>COUNT(C21:C2191)</f>
        <v>7</v>
      </c>
      <c r="E17" s="14" t="s">
        <v>37</v>
      </c>
      <c r="F17" s="15">
        <f ca="1">ROUND(2*(F16-$C$7)/$C$8,0)/2+F15</f>
        <v>2286.5</v>
      </c>
    </row>
    <row r="18" spans="1:21" ht="14.25" thickTop="1" thickBot="1" x14ac:dyDescent="0.25">
      <c r="A18" s="16" t="s">
        <v>7</v>
      </c>
      <c r="B18" s="10"/>
      <c r="C18" s="19">
        <f ca="1">+C15</f>
        <v>59689.506401338047</v>
      </c>
      <c r="D18" s="20">
        <f ca="1">+C16</f>
        <v>2.2391935015055076</v>
      </c>
      <c r="E18" s="14" t="s">
        <v>38</v>
      </c>
      <c r="F18" s="23">
        <f ca="1">ROUND(2*(F16-$C$15)/$C$16,0)/2+F15</f>
        <v>126.5</v>
      </c>
    </row>
    <row r="19" spans="1:21" ht="13.5" thickTop="1" x14ac:dyDescent="0.2">
      <c r="E19" s="14" t="s">
        <v>33</v>
      </c>
      <c r="F19" s="18">
        <f ca="1">+$C$15+$C$16*F18-15018.5-$C$5/24</f>
        <v>44954.660212611831</v>
      </c>
      <c r="R19">
        <f ca="1">SQRT(SUM(R21:R26)/6)</f>
        <v>1.4025508678644229E-3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55</v>
      </c>
      <c r="C21" s="8">
        <v>54852.850000000093</v>
      </c>
      <c r="D21" s="8" t="s">
        <v>15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-1.5619139444747092E-3</v>
      </c>
      <c r="Q21" s="2">
        <f t="shared" ref="Q21:Q26" si="4">+C21-15018.5</f>
        <v>39834.350000000093</v>
      </c>
      <c r="R21">
        <f t="shared" ref="R21:R26" ca="1" si="5">(O21-G21)^2</f>
        <v>2.439575169944545E-6</v>
      </c>
    </row>
    <row r="22" spans="1:21" x14ac:dyDescent="0.2">
      <c r="A22" s="46" t="s">
        <v>56</v>
      </c>
      <c r="B22" s="47" t="s">
        <v>1</v>
      </c>
      <c r="C22" s="46">
        <v>55320.840100000001</v>
      </c>
      <c r="D22" s="46">
        <v>2.0000000000000001E-4</v>
      </c>
      <c r="E22">
        <f t="shared" si="0"/>
        <v>208.99991425459055</v>
      </c>
      <c r="F22">
        <f t="shared" si="1"/>
        <v>209</v>
      </c>
      <c r="G22">
        <f t="shared" si="2"/>
        <v>-1.9200009410269558E-4</v>
      </c>
      <c r="K22">
        <f>+G22</f>
        <v>-1.9200009410269558E-4</v>
      </c>
      <c r="O22">
        <f t="shared" ca="1" si="3"/>
        <v>-4.1209929337493413E-4</v>
      </c>
      <c r="Q22" s="2">
        <f t="shared" si="4"/>
        <v>40302.340100000001</v>
      </c>
      <c r="R22">
        <f t="shared" ca="1" si="5"/>
        <v>4.8443657520280571E-8</v>
      </c>
    </row>
    <row r="23" spans="1:21" x14ac:dyDescent="0.2">
      <c r="A23" s="46" t="s">
        <v>57</v>
      </c>
      <c r="B23" s="47" t="s">
        <v>58</v>
      </c>
      <c r="C23" s="46">
        <v>55648.883000000002</v>
      </c>
      <c r="D23" s="46">
        <v>2.0000000000000001E-4</v>
      </c>
      <c r="E23">
        <f t="shared" si="0"/>
        <v>355.50074401966629</v>
      </c>
      <c r="F23">
        <f t="shared" si="1"/>
        <v>355.5</v>
      </c>
      <c r="G23">
        <f t="shared" si="2"/>
        <v>1.665999909164384E-3</v>
      </c>
      <c r="K23">
        <f>+G23</f>
        <v>1.665999909164384E-3</v>
      </c>
      <c r="O23">
        <f t="shared" ca="1" si="3"/>
        <v>3.9387126349643958E-4</v>
      </c>
      <c r="Q23" s="2">
        <f t="shared" si="4"/>
        <v>40630.383000000002</v>
      </c>
      <c r="R23">
        <f t="shared" ca="1" si="5"/>
        <v>1.6183112911289585E-6</v>
      </c>
    </row>
    <row r="24" spans="1:21" x14ac:dyDescent="0.2">
      <c r="A24" s="48" t="s">
        <v>59</v>
      </c>
      <c r="B24" s="49" t="s">
        <v>1</v>
      </c>
      <c r="C24" s="48">
        <v>55976.921499999997</v>
      </c>
      <c r="D24" s="48">
        <v>4.0000000000000002E-4</v>
      </c>
      <c r="E24">
        <f t="shared" si="0"/>
        <v>501.99960878671357</v>
      </c>
      <c r="F24">
        <f t="shared" si="1"/>
        <v>502</v>
      </c>
      <c r="G24">
        <f t="shared" si="2"/>
        <v>-8.7600009283050895E-4</v>
      </c>
      <c r="K24">
        <f>+G24</f>
        <v>-8.7600009283050895E-4</v>
      </c>
      <c r="O24">
        <f t="shared" ca="1" si="3"/>
        <v>1.1998418203678128E-3</v>
      </c>
      <c r="Q24" s="2">
        <f t="shared" si="4"/>
        <v>40958.421499999997</v>
      </c>
      <c r="R24">
        <f t="shared" ca="1" si="5"/>
        <v>4.3091196485908691E-6</v>
      </c>
    </row>
    <row r="25" spans="1:21" x14ac:dyDescent="0.2">
      <c r="A25" s="50" t="s">
        <v>60</v>
      </c>
      <c r="B25" s="51" t="s">
        <v>1</v>
      </c>
      <c r="C25" s="50">
        <v>56724.813099999999</v>
      </c>
      <c r="D25" s="50">
        <v>2.9999999999999997E-4</v>
      </c>
      <c r="E25">
        <f t="shared" si="0"/>
        <v>836.00086281272775</v>
      </c>
      <c r="F25">
        <f t="shared" si="1"/>
        <v>836</v>
      </c>
      <c r="G25">
        <f t="shared" si="2"/>
        <v>1.9319999046274461E-3</v>
      </c>
      <c r="K25">
        <f>+G25</f>
        <v>1.9319999046274461E-3</v>
      </c>
      <c r="O25">
        <f t="shared" ca="1" si="3"/>
        <v>3.0373446599243912E-3</v>
      </c>
      <c r="Q25" s="2">
        <f t="shared" si="4"/>
        <v>41706.313099999999</v>
      </c>
      <c r="R25">
        <f t="shared" ca="1" si="5"/>
        <v>1.2217870280624634E-6</v>
      </c>
    </row>
    <row r="26" spans="1:21" x14ac:dyDescent="0.2">
      <c r="A26" s="43" t="s">
        <v>0</v>
      </c>
      <c r="B26" s="44" t="s">
        <v>1</v>
      </c>
      <c r="C26" s="45">
        <v>57873.519</v>
      </c>
      <c r="D26" s="45">
        <v>1E-3</v>
      </c>
      <c r="E26">
        <f t="shared" si="0"/>
        <v>1349.0019596388991</v>
      </c>
      <c r="F26">
        <f t="shared" si="1"/>
        <v>1349</v>
      </c>
      <c r="G26">
        <f t="shared" si="2"/>
        <v>4.3879999066120945E-3</v>
      </c>
      <c r="I26">
        <f>+G26</f>
        <v>4.3879999066120945E-3</v>
      </c>
      <c r="O26">
        <f t="shared" ca="1" si="3"/>
        <v>5.8596169853511121E-3</v>
      </c>
      <c r="Q26" s="2">
        <f t="shared" si="4"/>
        <v>42855.019</v>
      </c>
      <c r="R26">
        <f t="shared" ca="1" si="5"/>
        <v>2.1656568264363602E-6</v>
      </c>
    </row>
    <row r="27" spans="1:21" x14ac:dyDescent="0.2">
      <c r="A27" s="53" t="s">
        <v>62</v>
      </c>
      <c r="B27" s="54" t="s">
        <v>58</v>
      </c>
      <c r="C27" s="55">
        <v>59689.508000000002</v>
      </c>
      <c r="D27" s="53">
        <v>1E-3</v>
      </c>
      <c r="E27">
        <f t="shared" ref="E27" si="6">+(C27-C$7)/C$8</f>
        <v>2160.005323358248</v>
      </c>
      <c r="F27">
        <f t="shared" ref="F27" si="7">ROUND(2*E27,0)/2</f>
        <v>2160</v>
      </c>
      <c r="G27">
        <f t="shared" ref="G27" si="8">+C27-(C$7+F27*C$8)</f>
        <v>1.1919999909878243E-2</v>
      </c>
      <c r="I27">
        <f>+G27</f>
        <v>1.1919999909878243E-2</v>
      </c>
      <c r="O27">
        <f t="shared" ref="O27" ca="1" si="9">+C$11+C$12*$F27</f>
        <v>1.0321337952058852E-2</v>
      </c>
      <c r="Q27" s="2">
        <f t="shared" ref="Q27" si="10">+C27-15018.5</f>
        <v>44671.008000000002</v>
      </c>
      <c r="R27">
        <f t="shared" ref="R27" ca="1" si="11">(O27-G27)^2</f>
        <v>2.5557200553789282E-6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2051" r:id="rId1" display="http://vsolj.cetus-net.org/bulletin.html"/>
    <hyperlink ref="H62044" r:id="rId2" display="https://www.aavso.org/ejaavso"/>
    <hyperlink ref="I62051" r:id="rId3" display="http://vsolj.cetus-net.org/bulletin.html"/>
    <hyperlink ref="AQ55694" r:id="rId4" display="http://cdsbib.u-strasbg.fr/cgi-bin/cdsbib?1990RMxAA..21..381G"/>
    <hyperlink ref="H62048" r:id="rId5" display="https://www.aavso.org/ejaavso"/>
    <hyperlink ref="AP3058" r:id="rId6" display="http://cdsbib.u-strasbg.fr/cgi-bin/cdsbib?1990RMxAA..21..381G"/>
    <hyperlink ref="AP3061" r:id="rId7" display="http://cdsbib.u-strasbg.fr/cgi-bin/cdsbib?1990RMxAA..21..381G"/>
    <hyperlink ref="AP3059" r:id="rId8" display="http://cdsbib.u-strasbg.fr/cgi-bin/cdsbib?1990RMxAA..21..381G"/>
    <hyperlink ref="AP3043" r:id="rId9" display="http://cdsbib.u-strasbg.fr/cgi-bin/cdsbib?1990RMxAA..21..381G"/>
    <hyperlink ref="AQ3272" r:id="rId10" display="http://cdsbib.u-strasbg.fr/cgi-bin/cdsbib?1990RMxAA..21..381G"/>
    <hyperlink ref="AQ3276" r:id="rId11" display="http://cdsbib.u-strasbg.fr/cgi-bin/cdsbib?1990RMxAA..21..381G"/>
    <hyperlink ref="AQ62964" r:id="rId12" display="http://cdsbib.u-strasbg.fr/cgi-bin/cdsbib?1990RMxAA..21..381G"/>
    <hyperlink ref="I164" r:id="rId13" display="http://vsolj.cetus-net.org/bulletin.html"/>
    <hyperlink ref="H164" r:id="rId14" display="http://vsolj.cetus-net.org/bulletin.html"/>
    <hyperlink ref="AQ63625" r:id="rId15" display="http://cdsbib.u-strasbg.fr/cgi-bin/cdsbib?1990RMxAA..21..381G"/>
    <hyperlink ref="AQ63624" r:id="rId16" display="http://cdsbib.u-strasbg.fr/cgi-bin/cdsbib?1990RMxAA..21..381G"/>
    <hyperlink ref="AP1334" r:id="rId17" display="http://cdsbib.u-strasbg.fr/cgi-bin/cdsbib?1990RMxAA..21..381G"/>
    <hyperlink ref="AP1352" r:id="rId18" display="http://cdsbib.u-strasbg.fr/cgi-bin/cdsbib?1990RMxAA..21..381G"/>
    <hyperlink ref="AP1353" r:id="rId19" display="http://cdsbib.u-strasbg.fr/cgi-bin/cdsbib?1990RMxAA..21..381G"/>
    <hyperlink ref="AP134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2023-01-26T00:10:22Z</dcterms:modified>
</cp:coreProperties>
</file>