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207BF49-F8F7-4C49-AB5A-3B3F48BAAE9A}" xr6:coauthVersionLast="47" xr6:coauthVersionMax="47" xr10:uidLastSave="{00000000-0000-0000-0000-000000000000}"/>
  <bookViews>
    <workbookView xWindow="14760" yWindow="1080" windowWidth="13590" windowHeight="1452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J31" i="1" s="1"/>
  <c r="Q31" i="1"/>
  <c r="E30" i="1"/>
  <c r="F30" i="1" s="1"/>
  <c r="G30" i="1" s="1"/>
  <c r="J30" i="1" s="1"/>
  <c r="Q30" i="1"/>
  <c r="E21" i="1"/>
  <c r="F21" i="1"/>
  <c r="G21" i="1"/>
  <c r="K21" i="1"/>
  <c r="E22" i="1"/>
  <c r="F22" i="1"/>
  <c r="G22" i="1"/>
  <c r="K22" i="1"/>
  <c r="E24" i="1"/>
  <c r="F24" i="1"/>
  <c r="G24" i="1"/>
  <c r="K24" i="1"/>
  <c r="E26" i="1"/>
  <c r="F26" i="1"/>
  <c r="G26" i="1"/>
  <c r="K26" i="1"/>
  <c r="G11" i="1"/>
  <c r="F11" i="1"/>
  <c r="C23" i="1"/>
  <c r="E23" i="1"/>
  <c r="F23" i="1"/>
  <c r="E25" i="1"/>
  <c r="F25" i="1"/>
  <c r="G25" i="1"/>
  <c r="J25" i="1"/>
  <c r="E27" i="1"/>
  <c r="F27" i="1"/>
  <c r="G27" i="1"/>
  <c r="I27" i="1"/>
  <c r="E28" i="1"/>
  <c r="F28" i="1"/>
  <c r="G28" i="1"/>
  <c r="J28" i="1"/>
  <c r="E29" i="1"/>
  <c r="F29" i="1"/>
  <c r="G29" i="1"/>
  <c r="J29" i="1"/>
  <c r="Q21" i="1"/>
  <c r="Q22" i="1"/>
  <c r="Q24" i="1"/>
  <c r="Q26" i="1"/>
  <c r="G15" i="2"/>
  <c r="C15" i="2"/>
  <c r="E15" i="2"/>
  <c r="G14" i="2"/>
  <c r="C14" i="2"/>
  <c r="E14" i="2"/>
  <c r="G13" i="2"/>
  <c r="C13" i="2"/>
  <c r="E13" i="2"/>
  <c r="G19" i="2"/>
  <c r="C19" i="2"/>
  <c r="E19" i="2"/>
  <c r="G12" i="2"/>
  <c r="C12" i="2"/>
  <c r="E12" i="2"/>
  <c r="G18" i="2"/>
  <c r="C18" i="2"/>
  <c r="E18" i="2"/>
  <c r="G11" i="2"/>
  <c r="C11" i="2"/>
  <c r="E11" i="2"/>
  <c r="G17" i="2"/>
  <c r="C17" i="2"/>
  <c r="E17" i="2"/>
  <c r="G16" i="2"/>
  <c r="C16" i="2"/>
  <c r="E16" i="2"/>
  <c r="H15" i="2"/>
  <c r="B15" i="2"/>
  <c r="D15" i="2"/>
  <c r="A15" i="2"/>
  <c r="H14" i="2"/>
  <c r="B14" i="2"/>
  <c r="D14" i="2"/>
  <c r="A14" i="2"/>
  <c r="H13" i="2"/>
  <c r="B13" i="2"/>
  <c r="D13" i="2"/>
  <c r="A13" i="2"/>
  <c r="H19" i="2"/>
  <c r="B19" i="2"/>
  <c r="D19" i="2"/>
  <c r="A19" i="2"/>
  <c r="H12" i="2"/>
  <c r="B12" i="2"/>
  <c r="D12" i="2"/>
  <c r="A12" i="2"/>
  <c r="H18" i="2"/>
  <c r="B18" i="2"/>
  <c r="D18" i="2"/>
  <c r="A18" i="2"/>
  <c r="H11" i="2"/>
  <c r="B11" i="2"/>
  <c r="D11" i="2"/>
  <c r="A11" i="2"/>
  <c r="H17" i="2"/>
  <c r="B17" i="2"/>
  <c r="D17" i="2"/>
  <c r="A17" i="2"/>
  <c r="H16" i="2"/>
  <c r="B16" i="2"/>
  <c r="D16" i="2"/>
  <c r="A16" i="2"/>
  <c r="Q25" i="1"/>
  <c r="Q28" i="1"/>
  <c r="Q29" i="1"/>
  <c r="Q27" i="1"/>
  <c r="E14" i="1"/>
  <c r="A23" i="1"/>
  <c r="H20" i="1"/>
  <c r="C17" i="1"/>
  <c r="Q23" i="1"/>
  <c r="G23" i="1"/>
  <c r="H23" i="1"/>
  <c r="C11" i="1"/>
  <c r="E15" i="1" l="1"/>
  <c r="C12" i="1"/>
  <c r="O31" i="1" l="1"/>
  <c r="O26" i="1"/>
  <c r="O25" i="1"/>
  <c r="O30" i="1"/>
  <c r="O29" i="1"/>
  <c r="C16" i="1"/>
  <c r="D18" i="1" s="1"/>
  <c r="O23" i="1"/>
  <c r="O24" i="1"/>
  <c r="O27" i="1"/>
  <c r="C15" i="1"/>
  <c r="E16" i="1" s="1"/>
  <c r="O28" i="1"/>
  <c r="O21" i="1"/>
  <c r="O22" i="1"/>
  <c r="C18" i="1" l="1"/>
  <c r="E17" i="1"/>
</calcChain>
</file>

<file path=xl/sharedStrings.xml><?xml version="1.0" encoding="utf-8"?>
<sst xmlns="http://schemas.openxmlformats.org/spreadsheetml/2006/main" count="151" uniqueCount="114">
  <si>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</si>
  <si>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</si>
  <si>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</si>
  <si>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</si>
  <si>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</si>
  <si>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</si>
  <si>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</si>
  <si>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</si>
  <si>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</si>
  <si>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</si>
  <si>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</si>
  <si>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</si>
  <si>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</si>
  <si>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</si>
  <si>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</si>
  <si>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</si>
  <si>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</si>
  <si>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</si>
  <si>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</si>
  <si>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</si>
  <si>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</si>
  <si>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</si>
  <si>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</si>
  <si>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</si>
  <si>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</si>
  <si>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</si>
  <si>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</si>
  <si>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</si>
  <si>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</si>
  <si>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</si>
  <si>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</si>
  <si>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</si>
  <si>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</si>
  <si>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</si>
  <si>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</si>
  <si>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</si>
  <si>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</si>
  <si>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</si>
  <si>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</si>
  <si>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</si>
  <si>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 0160</t>
  </si>
  <si>
    <t>I</t>
  </si>
  <si>
    <t>BQ Vul</t>
  </si>
  <si>
    <t>BQ Vul / GSC 2161-0544</t>
  </si>
  <si>
    <t>EA</t>
  </si>
  <si>
    <t>G2161-0544</t>
  </si>
  <si>
    <t>Malkov</t>
  </si>
  <si>
    <t>OEJV</t>
  </si>
  <si>
    <t>IBVS 5984</t>
  </si>
  <si>
    <t>IBVS 6149</t>
  </si>
  <si>
    <t>IBVS 6152</t>
  </si>
  <si>
    <t>IBVS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</si>
  <si>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</si>
  <si>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</si>
  <si>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</si>
  <si>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</si>
  <si>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</si>
  <si>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</si>
  <si>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</si>
  <si>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</si>
  <si>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</si>
  <si>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</si>
  <si>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</si>
  <si>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</si>
  <si>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2425882.381 </t>
  </si>
  <si>
    <t> 27.09.1929 21:08 </t>
  </si>
  <si>
    <t> -0.166 </t>
  </si>
  <si>
    <t>P </t>
  </si>
  <si>
    <t> O.Morgenroth </t>
  </si>
  <si>
    <t> AN 251.20 </t>
  </si>
  <si>
    <t>2427281.507 </t>
  </si>
  <si>
    <t> 28.07.1933 00:10 </t>
  </si>
  <si>
    <t>2427976.565 </t>
  </si>
  <si>
    <t> 23.06.1935 01:33 </t>
  </si>
  <si>
    <t> 0.000 </t>
  </si>
  <si>
    <t>V </t>
  </si>
  <si>
    <t> S.Piotrowski </t>
  </si>
  <si>
    <t> AAC 2.126 </t>
  </si>
  <si>
    <t>2428804.444 </t>
  </si>
  <si>
    <t> 27.09.1937 22:39 </t>
  </si>
  <si>
    <t> 0.011 </t>
  </si>
  <si>
    <t> AA 26.4 </t>
  </si>
  <si>
    <t>2455478.4138 </t>
  </si>
  <si>
    <t> 08.10.2010 21:55 </t>
  </si>
  <si>
    <t> 0.7036 </t>
  </si>
  <si>
    <t>C </t>
  </si>
  <si>
    <t>o</t>
  </si>
  <si>
    <t> P.Frank </t>
  </si>
  <si>
    <t>BAVM 215 </t>
  </si>
  <si>
    <t>2455830.4433 </t>
  </si>
  <si>
    <t> 25.09.2011 22:38 </t>
  </si>
  <si>
    <t> 0.7786 </t>
  </si>
  <si>
    <t>-I</t>
  </si>
  <si>
    <t>BAVM 225 </t>
  </si>
  <si>
    <t>2456049.51973 </t>
  </si>
  <si>
    <t> 02.05.2012 00:28 </t>
  </si>
  <si>
    <t>6341</t>
  </si>
  <si>
    <t> 0.71363 </t>
  </si>
  <si>
    <t> J.Trnka </t>
  </si>
  <si>
    <t>OEJV 0160 </t>
  </si>
  <si>
    <t>2456815.4409 </t>
  </si>
  <si>
    <t> 06.06.2014 22:34 </t>
  </si>
  <si>
    <t>6514</t>
  </si>
  <si>
    <t> 0.7465 </t>
  </si>
  <si>
    <t> W.Moschner &amp; P.Frank </t>
  </si>
  <si>
    <t>BAVM 238 </t>
  </si>
  <si>
    <t>2456928.3854 </t>
  </si>
  <si>
    <t> 27.09.2014 21:14 </t>
  </si>
  <si>
    <t>6539.5</t>
  </si>
  <si>
    <t> 0.8000 </t>
  </si>
  <si>
    <t>BAVM 239 </t>
  </si>
  <si>
    <t>II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</si>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</sst>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vertical="center" wrapText="1"/>
    </xf>
    <xf numFmtId="165" fontId="21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BQ Vul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 AN 251.20 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9B-4C2E-9E38-047AF25DE4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6">
                  <c:v>0.71362999999837484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9B-4C2E-9E38-047AF25DE4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0.70360000000073342</c:v>
                </c:pt>
                <c:pt idx="7">
                  <c:v>0.74650000000110595</c:v>
                </c:pt>
                <c:pt idx="8">
                  <c:v>0.79995000000053551</c:v>
                </c:pt>
                <c:pt idx="9">
                  <c:v>0.77485000000160653</c:v>
                </c:pt>
                <c:pt idx="10">
                  <c:v>0.80460000000311993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9B-4C2E-9E38-047AF25DE4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-0.16569999999774154</c:v>
                </c:pt>
                <c:pt idx="1">
                  <c:v>-3.2999999966705218E-3</c:v>
                </c:pt>
                <c:pt idx="3">
                  <c:v>1.1300000001938315E-2</c:v>
                </c:pt>
                <c:pt idx="5">
                  <c:v>0.77865000000019791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9B-4C2E-9E38-047AF25DE4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9B-4C2E-9E38-047AF25DE4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9B-4C2E-9E38-047AF25DE4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4">
                    <c:v>4.0000000000000002E-4</c:v>
                  </c:pt>
                  <c:pt idx="6">
                    <c:v>1E-4</c:v>
                  </c:pt>
                  <c:pt idx="7">
                    <c:v>5.9999999999999995E-4</c:v>
                  </c:pt>
                  <c:pt idx="8">
                    <c:v>3.3999999999999998E-3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9B-4C2E-9E38-047AF25DE4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-8.338815158511452E-2</c:v>
                </c:pt>
                <c:pt idx="1">
                  <c:v>-4.5433390321592222E-2</c:v>
                </c:pt>
                <c:pt idx="2">
                  <c:v>-2.6576119693829559E-2</c:v>
                </c:pt>
                <c:pt idx="3">
                  <c:v>-4.1155489461122477E-3</c:v>
                </c:pt>
                <c:pt idx="4">
                  <c:v>0.71954722514477976</c:v>
                </c:pt>
                <c:pt idx="5">
                  <c:v>0.7290959704626595</c:v>
                </c:pt>
                <c:pt idx="6">
                  <c:v>0.73504141566058467</c:v>
                </c:pt>
                <c:pt idx="7">
                  <c:v>0.75582044635232315</c:v>
                </c:pt>
                <c:pt idx="8">
                  <c:v>0.75888325145428459</c:v>
                </c:pt>
                <c:pt idx="9">
                  <c:v>0.79659779270981002</c:v>
                </c:pt>
                <c:pt idx="10">
                  <c:v>0.82860710877540711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9B-4C2E-9E38-047AF25DE47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-473</c:v>
                </c:pt>
                <c:pt idx="1">
                  <c:v>-157</c:v>
                </c:pt>
                <c:pt idx="2">
                  <c:v>0</c:v>
                </c:pt>
                <c:pt idx="3">
                  <c:v>187</c:v>
                </c:pt>
                <c:pt idx="4">
                  <c:v>6212</c:v>
                </c:pt>
                <c:pt idx="5">
                  <c:v>6291.5</c:v>
                </c:pt>
                <c:pt idx="6">
                  <c:v>6341</c:v>
                </c:pt>
                <c:pt idx="7">
                  <c:v>6514</c:v>
                </c:pt>
                <c:pt idx="8">
                  <c:v>6539.5</c:v>
                </c:pt>
                <c:pt idx="9">
                  <c:v>6853.5</c:v>
                </c:pt>
                <c:pt idx="10">
                  <c:v>7120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9B-4C2E-9E38-047AF25D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209440"/>
        <c:axId val="1"/>
      </c:scatterChart>
      <c:valAx>
        <c:axId val="84820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820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406015037594"/>
          <c:y val="0.92397937099967764"/>
          <c:w val="0.807518796992481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16</xdr:col>
      <xdr:colOff>323850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9A01F4-6AF4-0102-3F36-10347FB54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43</v>
      </c>
    </row>
    <row r="2" spans="1:7" x14ac:dyDescent="0.2">
      <c r="A2" t="s">
        <v>23</v>
      </c>
      <c r="B2" t="s">
        <v>44</v>
      </c>
      <c r="C2" s="3"/>
      <c r="D2" s="3"/>
      <c r="E2" s="10" t="s">
        <v>42</v>
      </c>
      <c r="F2" t="s">
        <v>45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 s="8">
        <v>27976.564999999999</v>
      </c>
      <c r="D7" s="30" t="s">
        <v>46</v>
      </c>
    </row>
    <row r="8" spans="1:7" x14ac:dyDescent="0.2">
      <c r="A8" t="s">
        <v>3</v>
      </c>
      <c r="C8" s="8">
        <v>4.4271000000000003</v>
      </c>
      <c r="D8" s="30" t="s">
        <v>46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-2.6576119693829559E-2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1.2011000399848829E-4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60174.817857986105</v>
      </c>
    </row>
    <row r="15" spans="1:7" x14ac:dyDescent="0.2">
      <c r="A15" s="12" t="s">
        <v>17</v>
      </c>
      <c r="B15" s="10"/>
      <c r="C15" s="13">
        <f ca="1">(C7+C11)+(C8+C12)*INT(MAX(F21:F3533))</f>
        <v>59498.345607108778</v>
      </c>
      <c r="D15" s="14" t="s">
        <v>37</v>
      </c>
      <c r="E15" s="15">
        <f ca="1">ROUND(2*(E14-$C$7)/$C$8,0)/2+E13</f>
        <v>7274</v>
      </c>
    </row>
    <row r="16" spans="1:7" x14ac:dyDescent="0.2">
      <c r="A16" s="16" t="s">
        <v>4</v>
      </c>
      <c r="B16" s="10"/>
      <c r="C16" s="17">
        <f ca="1">+C8+C12</f>
        <v>4.427220110003999</v>
      </c>
      <c r="D16" s="14" t="s">
        <v>38</v>
      </c>
      <c r="E16" s="24">
        <f ca="1">ROUND(2*(E14-$C$15)/$C$16,0)/2+E13</f>
        <v>154</v>
      </c>
    </row>
    <row r="17" spans="1:21" ht="13.5" thickBot="1" x14ac:dyDescent="0.25">
      <c r="A17" s="14" t="s">
        <v>28</v>
      </c>
      <c r="B17" s="10"/>
      <c r="C17" s="10">
        <f>COUNT(C21:C2191)</f>
        <v>11</v>
      </c>
      <c r="D17" s="14" t="s">
        <v>32</v>
      </c>
      <c r="E17" s="18">
        <f ca="1">+$C$15+$C$16*E16-15018.5-$C$9/24</f>
        <v>45162.033337382731</v>
      </c>
    </row>
    <row r="18" spans="1:21" ht="14.25" thickTop="1" thickBot="1" x14ac:dyDescent="0.25">
      <c r="A18" s="16" t="s">
        <v>5</v>
      </c>
      <c r="B18" s="10"/>
      <c r="C18" s="19">
        <f ca="1">+C15</f>
        <v>59498.345607108778</v>
      </c>
      <c r="D18" s="20">
        <f ca="1">+C16</f>
        <v>4.427220110003999</v>
      </c>
      <c r="E18" s="21" t="s">
        <v>33</v>
      </c>
    </row>
    <row r="19" spans="1:21" ht="13.5" thickTop="1" x14ac:dyDescent="0.2">
      <c r="A19" s="25" t="s">
        <v>34</v>
      </c>
      <c r="E19" s="26">
        <v>21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 AN 251.20 </v>
      </c>
      <c r="I20" s="7" t="s">
        <v>47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U20" s="27" t="s">
        <v>35</v>
      </c>
    </row>
    <row r="21" spans="1:21" x14ac:dyDescent="0.2">
      <c r="A21" s="52" t="s">
        <v>69</v>
      </c>
      <c r="B21" s="54" t="s">
        <v>41</v>
      </c>
      <c r="C21" s="53">
        <v>25882.381000000001</v>
      </c>
      <c r="D21" s="8"/>
      <c r="E21">
        <f t="shared" ref="E21:E29" si="0">+(C21-C$7)/C$8</f>
        <v>-473.03742856497422</v>
      </c>
      <c r="F21">
        <f t="shared" ref="F21:F29" si="1">ROUND(2*E21,0)/2</f>
        <v>-473</v>
      </c>
      <c r="G21">
        <f t="shared" ref="G21:G29" si="2">+C21-(C$7+F21*C$8)</f>
        <v>-0.16569999999774154</v>
      </c>
      <c r="K21">
        <f>+G21</f>
        <v>-0.16569999999774154</v>
      </c>
      <c r="O21">
        <f t="shared" ref="O21:O29" ca="1" si="3">+C$11+C$12*$F21</f>
        <v>-8.338815158511452E-2</v>
      </c>
      <c r="Q21" s="2">
        <f t="shared" ref="Q21:Q29" si="4">+C21-15018.5</f>
        <v>10863.881000000001</v>
      </c>
    </row>
    <row r="22" spans="1:21" x14ac:dyDescent="0.2">
      <c r="A22" s="52" t="s">
        <v>69</v>
      </c>
      <c r="B22" s="54" t="s">
        <v>41</v>
      </c>
      <c r="C22" s="53">
        <v>27281.507000000001</v>
      </c>
      <c r="D22" s="8"/>
      <c r="E22">
        <f t="shared" si="0"/>
        <v>-157.00074540895784</v>
      </c>
      <c r="F22">
        <f t="shared" si="1"/>
        <v>-157</v>
      </c>
      <c r="G22">
        <f t="shared" si="2"/>
        <v>-3.2999999966705218E-3</v>
      </c>
      <c r="K22">
        <f>+G22</f>
        <v>-3.2999999966705218E-3</v>
      </c>
      <c r="O22">
        <f t="shared" ca="1" si="3"/>
        <v>-4.5433390321592222E-2</v>
      </c>
      <c r="Q22" s="2">
        <f t="shared" si="4"/>
        <v>12263.007000000001</v>
      </c>
    </row>
    <row r="23" spans="1:21" x14ac:dyDescent="0.2">
      <c r="A23" t="str">
        <f>D$7</f>
        <v>Malkov</v>
      </c>
      <c r="C23" s="8">
        <f>C$7</f>
        <v>27976.564999999999</v>
      </c>
      <c r="D23" s="8" t="s">
        <v>13</v>
      </c>
      <c r="E23">
        <f t="shared" si="0"/>
        <v>0</v>
      </c>
      <c r="F23">
        <f t="shared" si="1"/>
        <v>0</v>
      </c>
      <c r="G23">
        <f t="shared" si="2"/>
        <v>0</v>
      </c>
      <c r="H23">
        <f>+G23</f>
        <v>0</v>
      </c>
      <c r="O23">
        <f t="shared" ca="1" si="3"/>
        <v>-2.6576119693829559E-2</v>
      </c>
      <c r="Q23" s="2">
        <f t="shared" si="4"/>
        <v>12958.064999999999</v>
      </c>
    </row>
    <row r="24" spans="1:21" x14ac:dyDescent="0.2">
      <c r="A24" s="52" t="s">
        <v>81</v>
      </c>
      <c r="B24" s="54" t="s">
        <v>41</v>
      </c>
      <c r="C24" s="53">
        <v>28804.444</v>
      </c>
      <c r="D24" s="8"/>
      <c r="E24">
        <f t="shared" si="0"/>
        <v>187.00255246097913</v>
      </c>
      <c r="F24">
        <f t="shared" si="1"/>
        <v>187</v>
      </c>
      <c r="G24">
        <f t="shared" si="2"/>
        <v>1.1300000001938315E-2</v>
      </c>
      <c r="K24">
        <f>+G24</f>
        <v>1.1300000001938315E-2</v>
      </c>
      <c r="O24">
        <f t="shared" ca="1" si="3"/>
        <v>-4.1155489461122477E-3</v>
      </c>
      <c r="Q24" s="2">
        <f t="shared" si="4"/>
        <v>13785.944</v>
      </c>
    </row>
    <row r="25" spans="1:21" x14ac:dyDescent="0.2">
      <c r="A25" s="34" t="s">
        <v>48</v>
      </c>
      <c r="B25" s="34"/>
      <c r="C25" s="35">
        <v>55478.413800000002</v>
      </c>
      <c r="D25" s="35">
        <v>4.0000000000000002E-4</v>
      </c>
      <c r="E25">
        <f t="shared" si="0"/>
        <v>6212.1589302252041</v>
      </c>
      <c r="F25">
        <f t="shared" si="1"/>
        <v>6212</v>
      </c>
      <c r="G25">
        <f t="shared" si="2"/>
        <v>0.70360000000073342</v>
      </c>
      <c r="J25">
        <f>+G25</f>
        <v>0.70360000000073342</v>
      </c>
      <c r="O25">
        <f t="shared" ca="1" si="3"/>
        <v>0.71954722514477976</v>
      </c>
      <c r="Q25" s="2">
        <f t="shared" si="4"/>
        <v>40459.913800000002</v>
      </c>
    </row>
    <row r="26" spans="1:21" x14ac:dyDescent="0.2">
      <c r="A26" s="52" t="s">
        <v>93</v>
      </c>
      <c r="B26" s="54" t="s">
        <v>111</v>
      </c>
      <c r="C26" s="53">
        <v>55830.443299999999</v>
      </c>
      <c r="D26" s="8"/>
      <c r="E26">
        <f t="shared" si="0"/>
        <v>6291.675882631971</v>
      </c>
      <c r="F26">
        <f t="shared" si="1"/>
        <v>6291.5</v>
      </c>
      <c r="G26">
        <f t="shared" si="2"/>
        <v>0.77865000000019791</v>
      </c>
      <c r="K26">
        <f>+G26</f>
        <v>0.77865000000019791</v>
      </c>
      <c r="O26">
        <f t="shared" ca="1" si="3"/>
        <v>0.7290959704626595</v>
      </c>
      <c r="Q26" s="2">
        <f t="shared" si="4"/>
        <v>40811.943299999999</v>
      </c>
    </row>
    <row r="27" spans="1:21" x14ac:dyDescent="0.2">
      <c r="A27" s="31" t="s">
        <v>40</v>
      </c>
      <c r="B27" s="32" t="s">
        <v>41</v>
      </c>
      <c r="C27" s="33">
        <v>56049.51973</v>
      </c>
      <c r="D27" s="33">
        <v>1E-4</v>
      </c>
      <c r="E27">
        <f t="shared" si="0"/>
        <v>6341.1611958166741</v>
      </c>
      <c r="F27">
        <f t="shared" si="1"/>
        <v>6341</v>
      </c>
      <c r="G27">
        <f t="shared" si="2"/>
        <v>0.71362999999837484</v>
      </c>
      <c r="I27">
        <f>+G27</f>
        <v>0.71362999999837484</v>
      </c>
      <c r="O27">
        <f t="shared" ca="1" si="3"/>
        <v>0.73504141566058467</v>
      </c>
      <c r="Q27" s="2">
        <f t="shared" si="4"/>
        <v>41031.01973</v>
      </c>
    </row>
    <row r="28" spans="1:21" x14ac:dyDescent="0.2">
      <c r="A28" s="36" t="s">
        <v>49</v>
      </c>
      <c r="B28" s="37" t="s">
        <v>41</v>
      </c>
      <c r="C28" s="36">
        <v>56815.440900000001</v>
      </c>
      <c r="D28" s="36">
        <v>5.9999999999999995E-4</v>
      </c>
      <c r="E28">
        <f t="shared" si="0"/>
        <v>6514.1686205416645</v>
      </c>
      <c r="F28">
        <f t="shared" si="1"/>
        <v>6514</v>
      </c>
      <c r="G28">
        <f t="shared" si="2"/>
        <v>0.74650000000110595</v>
      </c>
      <c r="J28">
        <f>+G28</f>
        <v>0.74650000000110595</v>
      </c>
      <c r="O28">
        <f t="shared" ca="1" si="3"/>
        <v>0.75582044635232315</v>
      </c>
      <c r="Q28" s="2">
        <f t="shared" si="4"/>
        <v>41796.940900000001</v>
      </c>
    </row>
    <row r="29" spans="1:21" x14ac:dyDescent="0.2">
      <c r="A29" s="36" t="s">
        <v>50</v>
      </c>
      <c r="B29" s="38"/>
      <c r="C29" s="36">
        <v>56928.385399999999</v>
      </c>
      <c r="D29" s="36">
        <v>3.3999999999999998E-3</v>
      </c>
      <c r="E29">
        <f t="shared" si="0"/>
        <v>6539.6806939079752</v>
      </c>
      <c r="F29">
        <f t="shared" si="1"/>
        <v>6539.5</v>
      </c>
      <c r="G29">
        <f t="shared" si="2"/>
        <v>0.79995000000053551</v>
      </c>
      <c r="J29">
        <f>+G29</f>
        <v>0.79995000000053551</v>
      </c>
      <c r="O29">
        <f t="shared" ca="1" si="3"/>
        <v>0.75888325145428459</v>
      </c>
      <c r="Q29" s="2">
        <f t="shared" si="4"/>
        <v>41909.885399999999</v>
      </c>
    </row>
    <row r="30" spans="1:21" x14ac:dyDescent="0.2">
      <c r="A30" s="55" t="s">
        <v>112</v>
      </c>
      <c r="B30" s="56" t="s">
        <v>111</v>
      </c>
      <c r="C30" s="57">
        <v>58318.469700000001</v>
      </c>
      <c r="D30" s="55">
        <v>3.5000000000000001E-3</v>
      </c>
      <c r="E30">
        <f t="shared" ref="E30" si="5">+(C30-C$7)/C$8</f>
        <v>6853.6750242822618</v>
      </c>
      <c r="F30">
        <f t="shared" ref="F30" si="6">ROUND(2*E30,0)/2</f>
        <v>6853.5</v>
      </c>
      <c r="G30">
        <f t="shared" ref="G30" si="7">+C30-(C$7+F30*C$8)</f>
        <v>0.77485000000160653</v>
      </c>
      <c r="J30">
        <f>+G30</f>
        <v>0.77485000000160653</v>
      </c>
      <c r="O30">
        <f t="shared" ref="O30" ca="1" si="8">+C$11+C$12*$F30</f>
        <v>0.79659779270981002</v>
      </c>
      <c r="Q30" s="2">
        <f t="shared" ref="Q30" si="9">+C30-15018.5</f>
        <v>43299.969700000001</v>
      </c>
    </row>
    <row r="31" spans="1:21" x14ac:dyDescent="0.2">
      <c r="A31" s="55" t="s">
        <v>113</v>
      </c>
      <c r="B31" s="56" t="s">
        <v>41</v>
      </c>
      <c r="C31" s="58">
        <v>59498.321600000003</v>
      </c>
      <c r="D31" s="55">
        <v>3.5000000000000001E-3</v>
      </c>
      <c r="E31">
        <f t="shared" ref="E31" si="10">+(C31-C$7)/C$8</f>
        <v>7120.1817442569636</v>
      </c>
      <c r="F31">
        <f t="shared" ref="F31" si="11">ROUND(2*E31,0)/2</f>
        <v>7120</v>
      </c>
      <c r="G31">
        <f t="shared" ref="G31" si="12">+C31-(C$7+F31*C$8)</f>
        <v>0.80460000000311993</v>
      </c>
      <c r="J31">
        <f>+G31</f>
        <v>0.80460000000311993</v>
      </c>
      <c r="O31">
        <f t="shared" ref="O31" ca="1" si="13">+C$11+C$12*$F31</f>
        <v>0.82860710877540711</v>
      </c>
      <c r="Q31" s="2">
        <f t="shared" ref="Q31" si="14">+C31-15018.5</f>
        <v>44479.821600000003</v>
      </c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9"/>
  <sheetViews>
    <sheetView workbookViewId="0">
      <selection activeCell="A16" sqref="A16:C19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52</v>
      </c>
      <c r="I1" s="40" t="s">
        <v>53</v>
      </c>
      <c r="J1" s="41" t="s">
        <v>54</v>
      </c>
    </row>
    <row r="2" spans="1:16" x14ac:dyDescent="0.2">
      <c r="I2" s="42" t="s">
        <v>55</v>
      </c>
      <c r="J2" s="43" t="s">
        <v>56</v>
      </c>
    </row>
    <row r="3" spans="1:16" x14ac:dyDescent="0.2">
      <c r="A3" s="44" t="s">
        <v>57</v>
      </c>
      <c r="I3" s="42" t="s">
        <v>58</v>
      </c>
      <c r="J3" s="43" t="s">
        <v>59</v>
      </c>
    </row>
    <row r="4" spans="1:16" x14ac:dyDescent="0.2">
      <c r="I4" s="42" t="s">
        <v>60</v>
      </c>
      <c r="J4" s="43" t="s">
        <v>59</v>
      </c>
    </row>
    <row r="5" spans="1:16" ht="13.5" thickBot="1" x14ac:dyDescent="0.25">
      <c r="I5" s="45" t="s">
        <v>61</v>
      </c>
      <c r="J5" s="46" t="s">
        <v>62</v>
      </c>
    </row>
    <row r="10" spans="1:16" ht="13.5" thickBot="1" x14ac:dyDescent="0.25"/>
    <row r="11" spans="1:16" ht="12.75" customHeight="1" thickBot="1" x14ac:dyDescent="0.25">
      <c r="A11" s="8" t="str">
        <f t="shared" ref="A11:A19" si="0">P11</f>
        <v> AAC 2.126 </v>
      </c>
      <c r="B11" s="3" t="str">
        <f t="shared" ref="B11:B19" si="1">IF(H11=INT(H11),"I","II")</f>
        <v>I</v>
      </c>
      <c r="C11" s="8">
        <f t="shared" ref="C11:C19" si="2">1*G11</f>
        <v>27976.564999999999</v>
      </c>
      <c r="D11" s="10" t="str">
        <f t="shared" ref="D11:D19" si="3">VLOOKUP(F11,I$1:J$5,2,FALSE)</f>
        <v>vis</v>
      </c>
      <c r="E11" s="47">
        <f>VLOOKUP(C11,Active!C$21:E$973,3,FALSE)</f>
        <v>0</v>
      </c>
      <c r="F11" s="3" t="s">
        <v>61</v>
      </c>
      <c r="G11" s="10" t="str">
        <f t="shared" ref="G11:G19" si="4">MID(I11,3,LEN(I11)-3)</f>
        <v>27976.565</v>
      </c>
      <c r="H11" s="8">
        <f t="shared" ref="H11:H19" si="5">1*K11</f>
        <v>0</v>
      </c>
      <c r="I11" s="48" t="s">
        <v>72</v>
      </c>
      <c r="J11" s="49" t="s">
        <v>73</v>
      </c>
      <c r="K11" s="48">
        <v>0</v>
      </c>
      <c r="L11" s="48" t="s">
        <v>74</v>
      </c>
      <c r="M11" s="49" t="s">
        <v>75</v>
      </c>
      <c r="N11" s="49"/>
      <c r="O11" s="50" t="s">
        <v>76</v>
      </c>
      <c r="P11" s="50" t="s">
        <v>77</v>
      </c>
    </row>
    <row r="12" spans="1:16" ht="12.75" customHeight="1" thickBot="1" x14ac:dyDescent="0.25">
      <c r="A12" s="8" t="str">
        <f t="shared" si="0"/>
        <v>BAVM 215 </v>
      </c>
      <c r="B12" s="3" t="str">
        <f t="shared" si="1"/>
        <v>I</v>
      </c>
      <c r="C12" s="8">
        <f t="shared" si="2"/>
        <v>55478.413800000002</v>
      </c>
      <c r="D12" s="10" t="str">
        <f t="shared" si="3"/>
        <v>vis</v>
      </c>
      <c r="E12" s="47">
        <f>VLOOKUP(C12,Active!C$21:E$973,3,FALSE)</f>
        <v>6212.1589302252041</v>
      </c>
      <c r="F12" s="3" t="s">
        <v>61</v>
      </c>
      <c r="G12" s="10" t="str">
        <f t="shared" si="4"/>
        <v>55478.4138</v>
      </c>
      <c r="H12" s="8">
        <f t="shared" si="5"/>
        <v>6212</v>
      </c>
      <c r="I12" s="48" t="s">
        <v>82</v>
      </c>
      <c r="J12" s="49" t="s">
        <v>83</v>
      </c>
      <c r="K12" s="48">
        <v>6212</v>
      </c>
      <c r="L12" s="48" t="s">
        <v>84</v>
      </c>
      <c r="M12" s="49" t="s">
        <v>85</v>
      </c>
      <c r="N12" s="49" t="s">
        <v>86</v>
      </c>
      <c r="O12" s="50" t="s">
        <v>87</v>
      </c>
      <c r="P12" s="51" t="s">
        <v>88</v>
      </c>
    </row>
    <row r="13" spans="1:16" ht="12.75" customHeight="1" thickBot="1" x14ac:dyDescent="0.25">
      <c r="A13" s="8" t="str">
        <f t="shared" si="0"/>
        <v>OEJV 0160 </v>
      </c>
      <c r="B13" s="3" t="str">
        <f t="shared" si="1"/>
        <v>I</v>
      </c>
      <c r="C13" s="8">
        <f t="shared" si="2"/>
        <v>56049.51973</v>
      </c>
      <c r="D13" s="10" t="str">
        <f t="shared" si="3"/>
        <v>vis</v>
      </c>
      <c r="E13" s="47">
        <f>VLOOKUP(C13,Active!C$21:E$973,3,FALSE)</f>
        <v>6341.1611958166741</v>
      </c>
      <c r="F13" s="3" t="s">
        <v>61</v>
      </c>
      <c r="G13" s="10" t="str">
        <f t="shared" si="4"/>
        <v>56049.51973</v>
      </c>
      <c r="H13" s="8">
        <f t="shared" si="5"/>
        <v>6341</v>
      </c>
      <c r="I13" s="48" t="s">
        <v>94</v>
      </c>
      <c r="J13" s="49" t="s">
        <v>95</v>
      </c>
      <c r="K13" s="48" t="s">
        <v>96</v>
      </c>
      <c r="L13" s="48" t="s">
        <v>97</v>
      </c>
      <c r="M13" s="49" t="s">
        <v>85</v>
      </c>
      <c r="N13" s="49" t="s">
        <v>53</v>
      </c>
      <c r="O13" s="50" t="s">
        <v>98</v>
      </c>
      <c r="P13" s="51" t="s">
        <v>99</v>
      </c>
    </row>
    <row r="14" spans="1:16" ht="12.75" customHeight="1" thickBot="1" x14ac:dyDescent="0.25">
      <c r="A14" s="8" t="str">
        <f t="shared" si="0"/>
        <v>BAVM 238 </v>
      </c>
      <c r="B14" s="3" t="str">
        <f t="shared" si="1"/>
        <v>I</v>
      </c>
      <c r="C14" s="8">
        <f t="shared" si="2"/>
        <v>56815.440900000001</v>
      </c>
      <c r="D14" s="10" t="str">
        <f t="shared" si="3"/>
        <v>vis</v>
      </c>
      <c r="E14" s="47">
        <f>VLOOKUP(C14,Active!C$21:E$973,3,FALSE)</f>
        <v>6514.1686205416645</v>
      </c>
      <c r="F14" s="3" t="s">
        <v>61</v>
      </c>
      <c r="G14" s="10" t="str">
        <f t="shared" si="4"/>
        <v>56815.4409</v>
      </c>
      <c r="H14" s="8">
        <f t="shared" si="5"/>
        <v>6514</v>
      </c>
      <c r="I14" s="48" t="s">
        <v>100</v>
      </c>
      <c r="J14" s="49" t="s">
        <v>101</v>
      </c>
      <c r="K14" s="48" t="s">
        <v>102</v>
      </c>
      <c r="L14" s="48" t="s">
        <v>103</v>
      </c>
      <c r="M14" s="49" t="s">
        <v>85</v>
      </c>
      <c r="N14" s="49" t="s">
        <v>86</v>
      </c>
      <c r="O14" s="50" t="s">
        <v>104</v>
      </c>
      <c r="P14" s="51" t="s">
        <v>105</v>
      </c>
    </row>
    <row r="15" spans="1:16" ht="12.75" customHeight="1" thickBot="1" x14ac:dyDescent="0.25">
      <c r="A15" s="8" t="str">
        <f t="shared" si="0"/>
        <v>BAVM 239 </v>
      </c>
      <c r="B15" s="3" t="str">
        <f t="shared" si="1"/>
        <v>II</v>
      </c>
      <c r="C15" s="8">
        <f t="shared" si="2"/>
        <v>56928.385399999999</v>
      </c>
      <c r="D15" s="10" t="str">
        <f t="shared" si="3"/>
        <v>vis</v>
      </c>
      <c r="E15" s="47">
        <f>VLOOKUP(C15,Active!C$21:E$973,3,FALSE)</f>
        <v>6539.6806939079752</v>
      </c>
      <c r="F15" s="3" t="s">
        <v>61</v>
      </c>
      <c r="G15" s="10" t="str">
        <f t="shared" si="4"/>
        <v>56928.3854</v>
      </c>
      <c r="H15" s="8">
        <f t="shared" si="5"/>
        <v>6539.5</v>
      </c>
      <c r="I15" s="48" t="s">
        <v>106</v>
      </c>
      <c r="J15" s="49" t="s">
        <v>107</v>
      </c>
      <c r="K15" s="48" t="s">
        <v>108</v>
      </c>
      <c r="L15" s="48" t="s">
        <v>109</v>
      </c>
      <c r="M15" s="49" t="s">
        <v>85</v>
      </c>
      <c r="N15" s="49" t="s">
        <v>92</v>
      </c>
      <c r="O15" s="50" t="s">
        <v>87</v>
      </c>
      <c r="P15" s="51" t="s">
        <v>110</v>
      </c>
    </row>
    <row r="16" spans="1:16" ht="12.75" customHeight="1" thickBot="1" x14ac:dyDescent="0.25">
      <c r="A16" s="8" t="str">
        <f t="shared" si="0"/>
        <v> AN 251.20 </v>
      </c>
      <c r="B16" s="3" t="str">
        <f t="shared" si="1"/>
        <v>I</v>
      </c>
      <c r="C16" s="8">
        <f t="shared" si="2"/>
        <v>25882.381000000001</v>
      </c>
      <c r="D16" s="10" t="str">
        <f t="shared" si="3"/>
        <v>vis</v>
      </c>
      <c r="E16" s="47">
        <f>VLOOKUP(C16,Active!C$21:E$973,3,FALSE)</f>
        <v>-473.03742856497422</v>
      </c>
      <c r="F16" s="3" t="s">
        <v>61</v>
      </c>
      <c r="G16" s="10" t="str">
        <f t="shared" si="4"/>
        <v>25882.381</v>
      </c>
      <c r="H16" s="8">
        <f t="shared" si="5"/>
        <v>-473</v>
      </c>
      <c r="I16" s="48" t="s">
        <v>64</v>
      </c>
      <c r="J16" s="49" t="s">
        <v>65</v>
      </c>
      <c r="K16" s="48">
        <v>-473</v>
      </c>
      <c r="L16" s="48" t="s">
        <v>66</v>
      </c>
      <c r="M16" s="49" t="s">
        <v>67</v>
      </c>
      <c r="N16" s="49"/>
      <c r="O16" s="50" t="s">
        <v>68</v>
      </c>
      <c r="P16" s="50" t="s">
        <v>69</v>
      </c>
    </row>
    <row r="17" spans="1:16" ht="12.75" customHeight="1" thickBot="1" x14ac:dyDescent="0.25">
      <c r="A17" s="8" t="str">
        <f t="shared" si="0"/>
        <v> AN 251.20 </v>
      </c>
      <c r="B17" s="3" t="str">
        <f t="shared" si="1"/>
        <v>I</v>
      </c>
      <c r="C17" s="8">
        <f t="shared" si="2"/>
        <v>27281.507000000001</v>
      </c>
      <c r="D17" s="10" t="str">
        <f t="shared" si="3"/>
        <v>vis</v>
      </c>
      <c r="E17" s="47">
        <f>VLOOKUP(C17,Active!C$21:E$973,3,FALSE)</f>
        <v>-157.00074540895784</v>
      </c>
      <c r="F17" s="3" t="s">
        <v>61</v>
      </c>
      <c r="G17" s="10" t="str">
        <f t="shared" si="4"/>
        <v>27281.507</v>
      </c>
      <c r="H17" s="8">
        <f t="shared" si="5"/>
        <v>-157</v>
      </c>
      <c r="I17" s="48" t="s">
        <v>70</v>
      </c>
      <c r="J17" s="49" t="s">
        <v>71</v>
      </c>
      <c r="K17" s="48">
        <v>-157</v>
      </c>
      <c r="L17" s="48" t="s">
        <v>63</v>
      </c>
      <c r="M17" s="49" t="s">
        <v>67</v>
      </c>
      <c r="N17" s="49"/>
      <c r="O17" s="50" t="s">
        <v>68</v>
      </c>
      <c r="P17" s="50" t="s">
        <v>69</v>
      </c>
    </row>
    <row r="18" spans="1:16" ht="12.75" customHeight="1" thickBot="1" x14ac:dyDescent="0.25">
      <c r="A18" s="8" t="str">
        <f t="shared" si="0"/>
        <v> AA 26.4 </v>
      </c>
      <c r="B18" s="3" t="str">
        <f t="shared" si="1"/>
        <v>I</v>
      </c>
      <c r="C18" s="8">
        <f t="shared" si="2"/>
        <v>28804.444</v>
      </c>
      <c r="D18" s="10" t="str">
        <f t="shared" si="3"/>
        <v>vis</v>
      </c>
      <c r="E18" s="47">
        <f>VLOOKUP(C18,Active!C$21:E$973,3,FALSE)</f>
        <v>187.00255246097913</v>
      </c>
      <c r="F18" s="3" t="s">
        <v>61</v>
      </c>
      <c r="G18" s="10" t="str">
        <f t="shared" si="4"/>
        <v>28804.444</v>
      </c>
      <c r="H18" s="8">
        <f t="shared" si="5"/>
        <v>187</v>
      </c>
      <c r="I18" s="48" t="s">
        <v>78</v>
      </c>
      <c r="J18" s="49" t="s">
        <v>79</v>
      </c>
      <c r="K18" s="48">
        <v>187</v>
      </c>
      <c r="L18" s="48" t="s">
        <v>80</v>
      </c>
      <c r="M18" s="49" t="s">
        <v>75</v>
      </c>
      <c r="N18" s="49"/>
      <c r="O18" s="50" t="s">
        <v>76</v>
      </c>
      <c r="P18" s="50" t="s">
        <v>81</v>
      </c>
    </row>
    <row r="19" spans="1:16" ht="12.75" customHeight="1" thickBot="1" x14ac:dyDescent="0.25">
      <c r="A19" s="8" t="str">
        <f t="shared" si="0"/>
        <v>BAVM 225 </v>
      </c>
      <c r="B19" s="3" t="str">
        <f t="shared" si="1"/>
        <v>II</v>
      </c>
      <c r="C19" s="8">
        <f t="shared" si="2"/>
        <v>55830.443299999999</v>
      </c>
      <c r="D19" s="10" t="str">
        <f t="shared" si="3"/>
        <v>vis</v>
      </c>
      <c r="E19" s="47">
        <f>VLOOKUP(C19,Active!C$21:E$973,3,FALSE)</f>
        <v>6291.675882631971</v>
      </c>
      <c r="F19" s="3" t="s">
        <v>61</v>
      </c>
      <c r="G19" s="10" t="str">
        <f t="shared" si="4"/>
        <v>55830.4433</v>
      </c>
      <c r="H19" s="8">
        <f t="shared" si="5"/>
        <v>6291.5</v>
      </c>
      <c r="I19" s="48" t="s">
        <v>89</v>
      </c>
      <c r="J19" s="49" t="s">
        <v>90</v>
      </c>
      <c r="K19" s="48">
        <v>6291.5</v>
      </c>
      <c r="L19" s="48" t="s">
        <v>91</v>
      </c>
      <c r="M19" s="49" t="s">
        <v>85</v>
      </c>
      <c r="N19" s="49" t="s">
        <v>92</v>
      </c>
      <c r="O19" s="50" t="s">
        <v>87</v>
      </c>
      <c r="P19" s="51" t="s">
        <v>93</v>
      </c>
    </row>
    <row r="20" spans="1:16" x14ac:dyDescent="0.2">
      <c r="B20" s="3"/>
      <c r="E20" s="47"/>
      <c r="F20" s="3"/>
    </row>
    <row r="21" spans="1:16" x14ac:dyDescent="0.2">
      <c r="B21" s="3"/>
      <c r="E21" s="47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</sheetData>
  <phoneticPr fontId="7" type="noConversion"/>
  <hyperlinks>
    <hyperlink ref="P12" r:id="rId1" display="http://www.bav-astro.de/sfs/BAVM_link.php?BAVMnr=215" xr:uid="{00000000-0004-0000-0100-000000000000}"/>
    <hyperlink ref="P19" r:id="rId2" display="http://www.bav-astro.de/sfs/BAVM_link.php?BAVMnr=225" xr:uid="{00000000-0004-0000-0100-000001000000}"/>
    <hyperlink ref="P13" r:id="rId3" display="http://var.astro.cz/oejv/issues/oejv0160.pdf" xr:uid="{00000000-0004-0000-0100-000002000000}"/>
    <hyperlink ref="P14" r:id="rId4" display="http://www.bav-astro.de/sfs/BAVM_link.php?BAVMnr=238" xr:uid="{00000000-0004-0000-0100-000003000000}"/>
    <hyperlink ref="P15" r:id="rId5" display="http://www.bav-astro.de/sfs/BAVM_link.php?BAVMnr=239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2023-08-18T07:37:42Z</dcterms:modified>
</cp:coreProperties>
</file>