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26895F0-AF41-484D-ADFE-0631A7639C49}" xr6:coauthVersionLast="47" xr6:coauthVersionMax="47" xr10:uidLastSave="{00000000-0000-0000-0000-000000000000}"/>
  <bookViews>
    <workbookView xWindow="14265" yWindow="285" windowWidth="14535" windowHeight="14475"/>
  </bookViews>
  <sheets>
    <sheet name="Active 1" sheetId="4" r:id="rId1"/>
    <sheet name="Active 3" sheetId="1" r:id="rId2"/>
    <sheet name="Active 2" sheetId="2" r:id="rId3"/>
    <sheet name="Active 4" sheetId="5" r:id="rId4"/>
    <sheet name="Active 5" sheetId="6" r:id="rId5"/>
  </sheets>
  <calcPr calcId="181029"/>
</workbook>
</file>

<file path=xl/calcChain.xml><?xml version="1.0" encoding="utf-8"?>
<calcChain xmlns="http://schemas.openxmlformats.org/spreadsheetml/2006/main">
  <c r="E29" i="4" l="1"/>
  <c r="F29" i="4" s="1"/>
  <c r="G29" i="4" s="1"/>
  <c r="I29" i="4" s="1"/>
  <c r="Q29" i="4"/>
  <c r="E29" i="1"/>
  <c r="F29" i="1"/>
  <c r="G29" i="1" s="1"/>
  <c r="I29" i="1" s="1"/>
  <c r="Q29" i="1"/>
  <c r="E29" i="2"/>
  <c r="F29" i="2" s="1"/>
  <c r="G29" i="2" s="1"/>
  <c r="I29" i="2" s="1"/>
  <c r="Q29" i="2"/>
  <c r="E29" i="5"/>
  <c r="F29" i="5" s="1"/>
  <c r="G29" i="5" s="1"/>
  <c r="I29" i="5" s="1"/>
  <c r="Q29" i="5"/>
  <c r="E29" i="6"/>
  <c r="F29" i="6" s="1"/>
  <c r="G29" i="6" s="1"/>
  <c r="I29" i="6" s="1"/>
  <c r="Q29" i="6"/>
  <c r="F23" i="6"/>
  <c r="G23" i="6"/>
  <c r="I23" i="6"/>
  <c r="F25" i="6"/>
  <c r="G25" i="6"/>
  <c r="I25" i="6"/>
  <c r="F27" i="6"/>
  <c r="G27" i="6"/>
  <c r="I27" i="6"/>
  <c r="Q28" i="6"/>
  <c r="E23" i="6"/>
  <c r="E24" i="6"/>
  <c r="F24" i="6"/>
  <c r="G24" i="6"/>
  <c r="I24" i="6"/>
  <c r="E25" i="6"/>
  <c r="E26" i="6"/>
  <c r="F26" i="6"/>
  <c r="G26" i="6"/>
  <c r="I26" i="6"/>
  <c r="E27" i="6"/>
  <c r="E22" i="6"/>
  <c r="F22" i="6"/>
  <c r="G22" i="6"/>
  <c r="I22" i="6"/>
  <c r="F11" i="6"/>
  <c r="G11" i="6"/>
  <c r="E28" i="6"/>
  <c r="F28" i="6"/>
  <c r="G28" i="6"/>
  <c r="I28" i="6"/>
  <c r="E14" i="6"/>
  <c r="E15" i="6" s="1"/>
  <c r="H20" i="6"/>
  <c r="C21" i="6"/>
  <c r="Q21" i="6"/>
  <c r="Q22" i="6"/>
  <c r="Q23" i="6"/>
  <c r="Q24" i="6"/>
  <c r="Q25" i="6"/>
  <c r="Q26" i="6"/>
  <c r="Q27" i="6"/>
  <c r="F11" i="5"/>
  <c r="G11" i="5"/>
  <c r="E22" i="5"/>
  <c r="F22" i="5"/>
  <c r="G22" i="5"/>
  <c r="I22" i="5"/>
  <c r="E23" i="5"/>
  <c r="F23" i="5"/>
  <c r="G23" i="5"/>
  <c r="I23" i="5"/>
  <c r="E24" i="5"/>
  <c r="F24" i="5"/>
  <c r="G24" i="5"/>
  <c r="I24" i="5"/>
  <c r="E25" i="5"/>
  <c r="F25" i="5"/>
  <c r="G25" i="5"/>
  <c r="I25" i="5"/>
  <c r="E26" i="5"/>
  <c r="F26" i="5"/>
  <c r="G26" i="5"/>
  <c r="I26" i="5"/>
  <c r="E27" i="5"/>
  <c r="F27" i="5"/>
  <c r="G27" i="5"/>
  <c r="I27" i="5"/>
  <c r="E28" i="5"/>
  <c r="F28" i="5"/>
  <c r="G28" i="5"/>
  <c r="I28" i="5"/>
  <c r="E14" i="5"/>
  <c r="E15" i="5" s="1"/>
  <c r="H20" i="5"/>
  <c r="C21" i="5"/>
  <c r="C17" i="5"/>
  <c r="Q22" i="5"/>
  <c r="Q23" i="5"/>
  <c r="Q24" i="5"/>
  <c r="Q25" i="5"/>
  <c r="Q26" i="5"/>
  <c r="Q27" i="5"/>
  <c r="Q28" i="5"/>
  <c r="G11" i="1"/>
  <c r="F11" i="1"/>
  <c r="G11" i="2"/>
  <c r="F11" i="2"/>
  <c r="G11" i="4"/>
  <c r="F11" i="4"/>
  <c r="F22" i="4"/>
  <c r="F24" i="4"/>
  <c r="G24" i="4"/>
  <c r="I24" i="4"/>
  <c r="F26" i="4"/>
  <c r="F28" i="4"/>
  <c r="G28" i="4"/>
  <c r="I28" i="4"/>
  <c r="E22" i="4"/>
  <c r="G22" i="4"/>
  <c r="I22" i="4"/>
  <c r="E23" i="4"/>
  <c r="F23" i="4"/>
  <c r="G23" i="4"/>
  <c r="I23" i="4"/>
  <c r="E24" i="4"/>
  <c r="E25" i="4"/>
  <c r="F25" i="4"/>
  <c r="G25" i="4"/>
  <c r="I25" i="4"/>
  <c r="E26" i="4"/>
  <c r="G26" i="4"/>
  <c r="I26" i="4"/>
  <c r="E27" i="4"/>
  <c r="F27" i="4"/>
  <c r="G27" i="4"/>
  <c r="I27" i="4"/>
  <c r="E28" i="4"/>
  <c r="E14" i="4"/>
  <c r="E15" i="4" s="1"/>
  <c r="E21" i="4"/>
  <c r="F21" i="4"/>
  <c r="G21" i="4"/>
  <c r="H21" i="4"/>
  <c r="C17" i="4"/>
  <c r="H20" i="4"/>
  <c r="C21" i="4"/>
  <c r="Q21" i="4"/>
  <c r="Q22" i="4"/>
  <c r="Q23" i="4"/>
  <c r="Q24" i="4"/>
  <c r="Q25" i="4"/>
  <c r="Q26" i="4"/>
  <c r="Q27" i="4"/>
  <c r="Q28" i="4"/>
  <c r="G27" i="2"/>
  <c r="I27" i="2"/>
  <c r="Q28" i="2"/>
  <c r="F23" i="2"/>
  <c r="G23" i="2"/>
  <c r="I23" i="2"/>
  <c r="F25" i="2"/>
  <c r="G25" i="2"/>
  <c r="I25" i="2"/>
  <c r="F27" i="2"/>
  <c r="E14" i="2"/>
  <c r="E15" i="2" s="1"/>
  <c r="C17" i="2"/>
  <c r="H20" i="2"/>
  <c r="A21" i="2"/>
  <c r="C21" i="2"/>
  <c r="E22" i="2"/>
  <c r="F22" i="2"/>
  <c r="G22" i="2"/>
  <c r="I22" i="2"/>
  <c r="Q22" i="2"/>
  <c r="E23" i="2"/>
  <c r="Q23" i="2"/>
  <c r="E24" i="2"/>
  <c r="F24" i="2"/>
  <c r="G24" i="2"/>
  <c r="I24" i="2"/>
  <c r="Q24" i="2"/>
  <c r="E25" i="2"/>
  <c r="Q25" i="2"/>
  <c r="E26" i="2"/>
  <c r="F26" i="2"/>
  <c r="G26" i="2"/>
  <c r="I26" i="2"/>
  <c r="Q26" i="2"/>
  <c r="E27" i="2"/>
  <c r="Q27" i="2"/>
  <c r="E28" i="2"/>
  <c r="F28" i="2"/>
  <c r="G28" i="2"/>
  <c r="I28" i="2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Q22" i="1"/>
  <c r="Q23" i="1"/>
  <c r="Q24" i="1"/>
  <c r="Q25" i="1"/>
  <c r="Q26" i="1"/>
  <c r="Q27" i="1"/>
  <c r="Q28" i="1"/>
  <c r="C21" i="1"/>
  <c r="Q21" i="1"/>
  <c r="E14" i="1"/>
  <c r="E15" i="1" s="1"/>
  <c r="A21" i="1"/>
  <c r="H20" i="1"/>
  <c r="C17" i="1"/>
  <c r="G21" i="6"/>
  <c r="H21" i="6"/>
  <c r="G21" i="2"/>
  <c r="E21" i="2"/>
  <c r="F21" i="2"/>
  <c r="E21" i="6"/>
  <c r="F21" i="6"/>
  <c r="C17" i="6"/>
  <c r="E21" i="1"/>
  <c r="F21" i="1"/>
  <c r="G21" i="1"/>
  <c r="Q21" i="2"/>
  <c r="E21" i="5"/>
  <c r="F21" i="5"/>
  <c r="G21" i="5"/>
  <c r="Q21" i="5"/>
  <c r="H21" i="1"/>
  <c r="H21" i="2"/>
  <c r="H21" i="5"/>
  <c r="C11" i="5"/>
  <c r="C11" i="1"/>
  <c r="C12" i="1"/>
  <c r="C11" i="6"/>
  <c r="C12" i="6"/>
  <c r="C12" i="5"/>
  <c r="C12" i="4"/>
  <c r="C11" i="4"/>
  <c r="C11" i="2"/>
  <c r="O29" i="4" l="1"/>
  <c r="S29" i="4" s="1"/>
  <c r="O29" i="1"/>
  <c r="S29" i="1" s="1"/>
  <c r="O29" i="5"/>
  <c r="S29" i="5" s="1"/>
  <c r="O29" i="6"/>
  <c r="S29" i="6" s="1"/>
  <c r="O21" i="4"/>
  <c r="S21" i="4" s="1"/>
  <c r="C15" i="4"/>
  <c r="O27" i="4"/>
  <c r="S27" i="4" s="1"/>
  <c r="O23" i="4"/>
  <c r="S23" i="4" s="1"/>
  <c r="O28" i="4"/>
  <c r="S28" i="4" s="1"/>
  <c r="O26" i="4"/>
  <c r="S26" i="4" s="1"/>
  <c r="O25" i="4"/>
  <c r="S25" i="4" s="1"/>
  <c r="O22" i="4"/>
  <c r="S22" i="4" s="1"/>
  <c r="O24" i="4"/>
  <c r="S24" i="4" s="1"/>
  <c r="C16" i="4"/>
  <c r="D18" i="4" s="1"/>
  <c r="C16" i="5"/>
  <c r="D18" i="5" s="1"/>
  <c r="C16" i="6"/>
  <c r="D18" i="6" s="1"/>
  <c r="C15" i="6"/>
  <c r="O27" i="6"/>
  <c r="S27" i="6" s="1"/>
  <c r="O23" i="6"/>
  <c r="S23" i="6" s="1"/>
  <c r="O21" i="6"/>
  <c r="S21" i="6" s="1"/>
  <c r="O22" i="6"/>
  <c r="S22" i="6" s="1"/>
  <c r="O26" i="6"/>
  <c r="S26" i="6" s="1"/>
  <c r="O24" i="6"/>
  <c r="S24" i="6" s="1"/>
  <c r="O28" i="6"/>
  <c r="S28" i="6" s="1"/>
  <c r="O25" i="6"/>
  <c r="S25" i="6" s="1"/>
  <c r="C16" i="1"/>
  <c r="D18" i="1" s="1"/>
  <c r="O26" i="1"/>
  <c r="S26" i="1" s="1"/>
  <c r="O28" i="1"/>
  <c r="S28" i="1" s="1"/>
  <c r="O21" i="1"/>
  <c r="S21" i="1" s="1"/>
  <c r="O24" i="1"/>
  <c r="S24" i="1" s="1"/>
  <c r="O25" i="1"/>
  <c r="S25" i="1" s="1"/>
  <c r="O22" i="1"/>
  <c r="S22" i="1" s="1"/>
  <c r="O23" i="1"/>
  <c r="S23" i="1" s="1"/>
  <c r="O27" i="1"/>
  <c r="S27" i="1" s="1"/>
  <c r="C15" i="1"/>
  <c r="O21" i="5"/>
  <c r="S21" i="5" s="1"/>
  <c r="O26" i="5"/>
  <c r="S26" i="5" s="1"/>
  <c r="O23" i="5"/>
  <c r="S23" i="5" s="1"/>
  <c r="O25" i="5"/>
  <c r="S25" i="5" s="1"/>
  <c r="O28" i="5"/>
  <c r="S28" i="5" s="1"/>
  <c r="O27" i="5"/>
  <c r="S27" i="5" s="1"/>
  <c r="C15" i="5"/>
  <c r="O24" i="5"/>
  <c r="S24" i="5" s="1"/>
  <c r="O22" i="5"/>
  <c r="S22" i="5" s="1"/>
  <c r="C12" i="2"/>
  <c r="O29" i="2" l="1"/>
  <c r="S29" i="2" s="1"/>
  <c r="C16" i="2"/>
  <c r="D18" i="2" s="1"/>
  <c r="O26" i="2"/>
  <c r="S26" i="2" s="1"/>
  <c r="O22" i="2"/>
  <c r="S22" i="2" s="1"/>
  <c r="O23" i="2"/>
  <c r="S23" i="2" s="1"/>
  <c r="O21" i="2"/>
  <c r="S21" i="2" s="1"/>
  <c r="O24" i="2"/>
  <c r="S24" i="2" s="1"/>
  <c r="C15" i="2"/>
  <c r="O27" i="2"/>
  <c r="S27" i="2" s="1"/>
  <c r="O28" i="2"/>
  <c r="S28" i="2" s="1"/>
  <c r="O25" i="2"/>
  <c r="S25" i="2" s="1"/>
  <c r="C18" i="6"/>
  <c r="E16" i="5"/>
  <c r="E17" i="5" s="1"/>
  <c r="C18" i="5"/>
  <c r="E16" i="4"/>
  <c r="E17" i="4" s="1"/>
  <c r="C18" i="4"/>
  <c r="C18" i="1"/>
  <c r="E16" i="1"/>
  <c r="E17" i="1" s="1"/>
  <c r="S19" i="1"/>
  <c r="S19" i="4"/>
  <c r="E16" i="6"/>
  <c r="E17" i="6" s="1"/>
  <c r="S19" i="5"/>
  <c r="S19" i="6"/>
  <c r="C18" i="2" l="1"/>
  <c r="E16" i="2"/>
  <c r="E17" i="2" s="1"/>
  <c r="S19" i="2"/>
</calcChain>
</file>

<file path=xl/sharedStrings.xml><?xml version="1.0" encoding="utf-8"?>
<sst xmlns="http://schemas.openxmlformats.org/spreadsheetml/2006/main" count="327" uniqueCount="51">
  <si>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</si>
  <si>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</si>
  <si>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</si>
  <si>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</si>
  <si>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</si>
  <si>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</si>
  <si>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</si>
  <si>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</si>
  <si>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</si>
  <si>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</si>
  <si>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</si>
  <si>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</si>
  <si>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</si>
  <si>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</si>
  <si>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</si>
  <si>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</si>
  <si>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</si>
  <si>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</si>
  <si>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</si>
  <si>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</si>
  <si>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</si>
  <si>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</si>
  <si>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</si>
  <si>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</si>
  <si>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</si>
  <si>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</si>
  <si>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</si>
  <si>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</si>
  <si>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</si>
  <si>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</si>
  <si>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</si>
  <si>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</si>
  <si>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</si>
  <si>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</si>
  <si>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</si>
  <si>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</si>
  <si>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</si>
  <si>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</si>
  <si>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</si>
  <si>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</si>
  <si>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</si>
  <si>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</si>
  <si>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V0513 Vul</t>
  </si>
  <si>
    <t>V0513 Vul / GSC 2177-0626</t>
  </si>
  <si>
    <t>EW</t>
  </si>
  <si>
    <t>G2177-0626</t>
  </si>
  <si>
    <t>VSX</t>
  </si>
  <si>
    <t>IBVS 5657</t>
  </si>
  <si>
    <t>I</t>
  </si>
  <si>
    <t>IBVS 5959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</si>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</sst>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2" borderId="0" xfId="0" applyFont="1" applyFill="1" applyAlignment="1"/>
    <xf numFmtId="0" fontId="6" fillId="0" borderId="0" xfId="0" applyFont="1">
      <alignment vertical="top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72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 Vul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45864661654135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74-43AE-873E-288D3AB5A68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8.3354432368651032E-2</c:v>
                </c:pt>
                <c:pt idx="2">
                  <c:v>9.4119591958587989E-3</c:v>
                </c:pt>
                <c:pt idx="3">
                  <c:v>2.6511959193157963E-2</c:v>
                </c:pt>
                <c:pt idx="4">
                  <c:v>2.4010652326978743E-2</c:v>
                </c:pt>
                <c:pt idx="5">
                  <c:v>9.569170275790384E-2</c:v>
                </c:pt>
                <c:pt idx="6">
                  <c:v>3.2576673787843902E-2</c:v>
                </c:pt>
                <c:pt idx="7">
                  <c:v>4.5705462296609767E-2</c:v>
                </c:pt>
                <c:pt idx="8">
                  <c:v>-4.3945985555183142E-2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74-43AE-873E-288D3AB5A68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74-43AE-873E-288D3AB5A68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74-43AE-873E-288D3AB5A68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74-43AE-873E-288D3AB5A68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74-43AE-873E-288D3AB5A68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74-43AE-873E-288D3AB5A68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4.6404319257983211E-2</c:v>
                </c:pt>
                <c:pt idx="1">
                  <c:v>4.0420836777696083E-2</c:v>
                </c:pt>
                <c:pt idx="2">
                  <c:v>4.0079972306864657E-2</c:v>
                </c:pt>
                <c:pt idx="3">
                  <c:v>4.0079972306864657E-2</c:v>
                </c:pt>
                <c:pt idx="4">
                  <c:v>4.0069484169300611E-2</c:v>
                </c:pt>
                <c:pt idx="5">
                  <c:v>3.9917406174621972E-2</c:v>
                </c:pt>
                <c:pt idx="6">
                  <c:v>3.9796792592635466E-2</c:v>
                </c:pt>
                <c:pt idx="7">
                  <c:v>1.7556696888080078E-2</c:v>
                </c:pt>
                <c:pt idx="8">
                  <c:v>-3.1008624102225858E-2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74-43AE-873E-288D3AB5A68B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74-43AE-873E-288D3AB5A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63936"/>
        <c:axId val="1"/>
      </c:scatterChart>
      <c:valAx>
        <c:axId val="701563936"/>
        <c:scaling>
          <c:orientation val="minMax"/>
          <c:max val="700"/>
          <c:min val="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63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 Vul - O-C Diagr.</a:t>
            </a:r>
          </a:p>
        </c:rich>
      </c:tx>
      <c:layout>
        <c:manualLayout>
          <c:xMode val="edge"/>
          <c:yMode val="edge"/>
          <c:x val="0.3708713437847295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4035127795846455"/>
          <c:w val="0.8303315478538321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84-42C1-9941-0D5D6FB12F9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8.3354432368651032E-2</c:v>
                </c:pt>
                <c:pt idx="2">
                  <c:v>9.4119591958587989E-3</c:v>
                </c:pt>
                <c:pt idx="3">
                  <c:v>2.6511959193157963E-2</c:v>
                </c:pt>
                <c:pt idx="4">
                  <c:v>2.4010652326978743E-2</c:v>
                </c:pt>
                <c:pt idx="5">
                  <c:v>9.569170275790384E-2</c:v>
                </c:pt>
                <c:pt idx="6">
                  <c:v>3.2576673787843902E-2</c:v>
                </c:pt>
                <c:pt idx="7">
                  <c:v>4.5705462296609767E-2</c:v>
                </c:pt>
                <c:pt idx="8">
                  <c:v>-4.3945985555183142E-2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84-42C1-9941-0D5D6FB12F9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84-42C1-9941-0D5D6FB12F9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84-42C1-9941-0D5D6FB12F9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84-42C1-9941-0D5D6FB12F9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84-42C1-9941-0D5D6FB12F9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84-42C1-9941-0D5D6FB12F9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4.6404319257983211E-2</c:v>
                </c:pt>
                <c:pt idx="1">
                  <c:v>4.0420836777696083E-2</c:v>
                </c:pt>
                <c:pt idx="2">
                  <c:v>4.0079972306864657E-2</c:v>
                </c:pt>
                <c:pt idx="3">
                  <c:v>4.0079972306864657E-2</c:v>
                </c:pt>
                <c:pt idx="4">
                  <c:v>4.0069484169300611E-2</c:v>
                </c:pt>
                <c:pt idx="5">
                  <c:v>3.9917406174621972E-2</c:v>
                </c:pt>
                <c:pt idx="6">
                  <c:v>3.9796792592635466E-2</c:v>
                </c:pt>
                <c:pt idx="7">
                  <c:v>1.7556696888080078E-2</c:v>
                </c:pt>
                <c:pt idx="8">
                  <c:v>-3.1008624102225858E-2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84-42C1-9941-0D5D6FB12F90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84-42C1-9941-0D5D6FB12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65016"/>
        <c:axId val="1"/>
      </c:scatterChart>
      <c:valAx>
        <c:axId val="701565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65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70301797860851"/>
          <c:y val="0.92397937099967764"/>
          <c:w val="0.7327338361984032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 Vul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567.5</c:v>
                </c:pt>
                <c:pt idx="2">
                  <c:v>600</c:v>
                </c:pt>
                <c:pt idx="3">
                  <c:v>600</c:v>
                </c:pt>
                <c:pt idx="4">
                  <c:v>601</c:v>
                </c:pt>
                <c:pt idx="5">
                  <c:v>615.5</c:v>
                </c:pt>
                <c:pt idx="6">
                  <c:v>627</c:v>
                </c:pt>
                <c:pt idx="7">
                  <c:v>2737</c:v>
                </c:pt>
                <c:pt idx="8">
                  <c:v>7344</c:v>
                </c:pt>
              </c:numCache>
            </c:numRef>
          </c:xVal>
          <c:yVal>
            <c:numRef>
              <c:f>'Active 3'!$H$21:$H$999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02-44BD-ADCA-4D34105EBA93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567.5</c:v>
                </c:pt>
                <c:pt idx="2">
                  <c:v>600</c:v>
                </c:pt>
                <c:pt idx="3">
                  <c:v>600</c:v>
                </c:pt>
                <c:pt idx="4">
                  <c:v>601</c:v>
                </c:pt>
                <c:pt idx="5">
                  <c:v>615.5</c:v>
                </c:pt>
                <c:pt idx="6">
                  <c:v>627</c:v>
                </c:pt>
                <c:pt idx="7">
                  <c:v>2737</c:v>
                </c:pt>
                <c:pt idx="8">
                  <c:v>7344</c:v>
                </c:pt>
              </c:numCache>
            </c:numRef>
          </c:xVal>
          <c:yVal>
            <c:numRef>
              <c:f>'Active 3'!$I$21:$I$999</c:f>
              <c:numCache>
                <c:formatCode>General</c:formatCode>
                <c:ptCount val="979"/>
                <c:pt idx="1">
                  <c:v>0.21947499999805586</c:v>
                </c:pt>
                <c:pt idx="2">
                  <c:v>-1.1399999995774124E-2</c:v>
                </c:pt>
                <c:pt idx="3">
                  <c:v>5.7000000015250407E-3</c:v>
                </c:pt>
                <c:pt idx="4">
                  <c:v>-1.6299999988405034E-3</c:v>
                </c:pt>
                <c:pt idx="5">
                  <c:v>3.5000004572793841E-5</c:v>
                </c:pt>
                <c:pt idx="6">
                  <c:v>-0.11860999999771593</c:v>
                </c:pt>
                <c:pt idx="7">
                  <c:v>-0.22660999999789055</c:v>
                </c:pt>
                <c:pt idx="8">
                  <c:v>-3.0220000167901162E-2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02-44BD-ADCA-4D34105EBA93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567.5</c:v>
                </c:pt>
                <c:pt idx="2">
                  <c:v>600</c:v>
                </c:pt>
                <c:pt idx="3">
                  <c:v>600</c:v>
                </c:pt>
                <c:pt idx="4">
                  <c:v>601</c:v>
                </c:pt>
                <c:pt idx="5">
                  <c:v>615.5</c:v>
                </c:pt>
                <c:pt idx="6">
                  <c:v>627</c:v>
                </c:pt>
                <c:pt idx="7">
                  <c:v>2737</c:v>
                </c:pt>
                <c:pt idx="8">
                  <c:v>7344</c:v>
                </c:pt>
              </c:numCache>
            </c:numRef>
          </c:xVal>
          <c:yVal>
            <c:numRef>
              <c:f>'Active 3'!$J$21:$J$999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02-44BD-ADCA-4D34105EBA93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567.5</c:v>
                </c:pt>
                <c:pt idx="2">
                  <c:v>600</c:v>
                </c:pt>
                <c:pt idx="3">
                  <c:v>600</c:v>
                </c:pt>
                <c:pt idx="4">
                  <c:v>601</c:v>
                </c:pt>
                <c:pt idx="5">
                  <c:v>615.5</c:v>
                </c:pt>
                <c:pt idx="6">
                  <c:v>627</c:v>
                </c:pt>
                <c:pt idx="7">
                  <c:v>2737</c:v>
                </c:pt>
                <c:pt idx="8">
                  <c:v>7344</c:v>
                </c:pt>
              </c:numCache>
            </c:numRef>
          </c:xVal>
          <c:yVal>
            <c:numRef>
              <c:f>'Active 3'!$K$21:$K$999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02-44BD-ADCA-4D34105EBA93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567.5</c:v>
                </c:pt>
                <c:pt idx="2">
                  <c:v>600</c:v>
                </c:pt>
                <c:pt idx="3">
                  <c:v>600</c:v>
                </c:pt>
                <c:pt idx="4">
                  <c:v>601</c:v>
                </c:pt>
                <c:pt idx="5">
                  <c:v>615.5</c:v>
                </c:pt>
                <c:pt idx="6">
                  <c:v>627</c:v>
                </c:pt>
                <c:pt idx="7">
                  <c:v>2737</c:v>
                </c:pt>
                <c:pt idx="8">
                  <c:v>7344</c:v>
                </c:pt>
              </c:numCache>
            </c:numRef>
          </c:xVal>
          <c:yVal>
            <c:numRef>
              <c:f>'Active 3'!$L$21:$L$999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02-44BD-ADCA-4D34105EBA93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567.5</c:v>
                </c:pt>
                <c:pt idx="2">
                  <c:v>600</c:v>
                </c:pt>
                <c:pt idx="3">
                  <c:v>600</c:v>
                </c:pt>
                <c:pt idx="4">
                  <c:v>601</c:v>
                </c:pt>
                <c:pt idx="5">
                  <c:v>615.5</c:v>
                </c:pt>
                <c:pt idx="6">
                  <c:v>627</c:v>
                </c:pt>
                <c:pt idx="7">
                  <c:v>2737</c:v>
                </c:pt>
                <c:pt idx="8">
                  <c:v>7344</c:v>
                </c:pt>
              </c:numCache>
            </c:numRef>
          </c:xVal>
          <c:yVal>
            <c:numRef>
              <c:f>'Active 3'!$M$21:$M$999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02-44BD-ADCA-4D34105EBA93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567.5</c:v>
                </c:pt>
                <c:pt idx="2">
                  <c:v>600</c:v>
                </c:pt>
                <c:pt idx="3">
                  <c:v>600</c:v>
                </c:pt>
                <c:pt idx="4">
                  <c:v>601</c:v>
                </c:pt>
                <c:pt idx="5">
                  <c:v>615.5</c:v>
                </c:pt>
                <c:pt idx="6">
                  <c:v>627</c:v>
                </c:pt>
                <c:pt idx="7">
                  <c:v>2737</c:v>
                </c:pt>
                <c:pt idx="8">
                  <c:v>7344</c:v>
                </c:pt>
              </c:numCache>
            </c:numRef>
          </c:xVal>
          <c:yVal>
            <c:numRef>
              <c:f>'Active 3'!$N$21:$N$999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02-44BD-ADCA-4D34105EBA93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567.5</c:v>
                </c:pt>
                <c:pt idx="2">
                  <c:v>600</c:v>
                </c:pt>
                <c:pt idx="3">
                  <c:v>600</c:v>
                </c:pt>
                <c:pt idx="4">
                  <c:v>601</c:v>
                </c:pt>
                <c:pt idx="5">
                  <c:v>615.5</c:v>
                </c:pt>
                <c:pt idx="6">
                  <c:v>627</c:v>
                </c:pt>
                <c:pt idx="7">
                  <c:v>2737</c:v>
                </c:pt>
                <c:pt idx="8">
                  <c:v>7344</c:v>
                </c:pt>
              </c:numCache>
            </c:numRef>
          </c:xVal>
          <c:yVal>
            <c:numRef>
              <c:f>'Active 3'!$O$21:$O$999</c:f>
              <c:numCache>
                <c:formatCode>General</c:formatCode>
                <c:ptCount val="979"/>
                <c:pt idx="0">
                  <c:v>1.3517311291288206E-3</c:v>
                </c:pt>
                <c:pt idx="1">
                  <c:v>-5.9192312452067495E-3</c:v>
                </c:pt>
                <c:pt idx="2">
                  <c:v>-6.3356299714902847E-3</c:v>
                </c:pt>
                <c:pt idx="3">
                  <c:v>-6.3356299714902847E-3</c:v>
                </c:pt>
                <c:pt idx="4">
                  <c:v>-6.348442239991316E-3</c:v>
                </c:pt>
                <c:pt idx="5">
                  <c:v>-6.5342201332562778E-3</c:v>
                </c:pt>
                <c:pt idx="6">
                  <c:v>-6.6815612210181438E-3</c:v>
                </c:pt>
                <c:pt idx="7">
                  <c:v>-3.3715447758195329E-2</c:v>
                </c:pt>
                <c:pt idx="8">
                  <c:v>-9.2741568742449015E-2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02-44BD-ADCA-4D34105EBA93}"/>
            </c:ext>
          </c:extLst>
        </c:ser>
        <c:ser>
          <c:idx val="8"/>
          <c:order val="8"/>
          <c:tx>
            <c:strRef>
              <c:f>'Active 3'!$R$20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567.5</c:v>
                </c:pt>
                <c:pt idx="2">
                  <c:v>600</c:v>
                </c:pt>
                <c:pt idx="3">
                  <c:v>600</c:v>
                </c:pt>
                <c:pt idx="4">
                  <c:v>601</c:v>
                </c:pt>
                <c:pt idx="5">
                  <c:v>615.5</c:v>
                </c:pt>
                <c:pt idx="6">
                  <c:v>627</c:v>
                </c:pt>
                <c:pt idx="7">
                  <c:v>2737</c:v>
                </c:pt>
                <c:pt idx="8">
                  <c:v>7344</c:v>
                </c:pt>
              </c:numCache>
            </c:numRef>
          </c:xVal>
          <c:yVal>
            <c:numRef>
              <c:f>'Active 3'!$R$21:$R$999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02-44BD-ADCA-4D34105EB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4568"/>
        <c:axId val="1"/>
      </c:scatterChart>
      <c:valAx>
        <c:axId val="717694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4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 Vul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75939849624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2A-4256-8996-994F05652A6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-3.153230000003532</c:v>
                </c:pt>
                <c:pt idx="2">
                  <c:v>-3.384104999997362</c:v>
                </c:pt>
                <c:pt idx="3">
                  <c:v>-3.3670050000000629</c:v>
                </c:pt>
                <c:pt idx="4">
                  <c:v>-3.3743350000004284</c:v>
                </c:pt>
                <c:pt idx="5">
                  <c:v>-3.3726699999970151</c:v>
                </c:pt>
                <c:pt idx="6">
                  <c:v>-3.4913149999993038</c:v>
                </c:pt>
                <c:pt idx="7">
                  <c:v>-13.717429999996966</c:v>
                </c:pt>
                <c:pt idx="8">
                  <c:v>-3.4029250001694891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2A-4256-8996-994F05652A6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2A-4256-8996-994F05652A6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2A-4256-8996-994F05652A6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2A-4256-8996-994F05652A6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2A-4256-8996-994F05652A6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2A-4256-8996-994F05652A6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-3.4954658292256817</c:v>
                </c:pt>
                <c:pt idx="1">
                  <c:v>-3.736825041832867</c:v>
                </c:pt>
                <c:pt idx="2">
                  <c:v>-3.7505626502562182</c:v>
                </c:pt>
                <c:pt idx="3">
                  <c:v>-3.7505626502562182</c:v>
                </c:pt>
                <c:pt idx="4">
                  <c:v>-3.7509853459000135</c:v>
                </c:pt>
                <c:pt idx="5">
                  <c:v>-3.757114432735047</c:v>
                </c:pt>
                <c:pt idx="6">
                  <c:v>-3.7619754326386943</c:v>
                </c:pt>
                <c:pt idx="7">
                  <c:v>-4.6583015453068839</c:v>
                </c:pt>
                <c:pt idx="8">
                  <c:v>-6.6012220720125354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2A-4256-8996-994F05652A6A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2A-4256-8996-994F05652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59616"/>
        <c:axId val="1"/>
      </c:scatterChart>
      <c:valAx>
        <c:axId val="701559616"/>
        <c:scaling>
          <c:orientation val="minMax"/>
          <c:max val="700"/>
          <c:min val="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59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 Vul - O-C Diagr.</a:t>
            </a:r>
          </a:p>
        </c:rich>
      </c:tx>
      <c:layout>
        <c:manualLayout>
          <c:xMode val="edge"/>
          <c:yMode val="edge"/>
          <c:x val="0.3708713437847295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12029625371894"/>
          <c:y val="0.14035127795846455"/>
          <c:w val="0.8378390663696895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BF-4DF9-B302-9635086A3C5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-3.153230000003532</c:v>
                </c:pt>
                <c:pt idx="2">
                  <c:v>-3.384104999997362</c:v>
                </c:pt>
                <c:pt idx="3">
                  <c:v>-3.3670050000000629</c:v>
                </c:pt>
                <c:pt idx="4">
                  <c:v>-3.3743350000004284</c:v>
                </c:pt>
                <c:pt idx="5">
                  <c:v>-3.3726699999970151</c:v>
                </c:pt>
                <c:pt idx="6">
                  <c:v>-3.4913149999993038</c:v>
                </c:pt>
                <c:pt idx="7">
                  <c:v>-13.717429999996966</c:v>
                </c:pt>
                <c:pt idx="8">
                  <c:v>-3.4029250001694891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BF-4DF9-B302-9635086A3C5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BF-4DF9-B302-9635086A3C5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BF-4DF9-B302-9635086A3C5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BF-4DF9-B302-9635086A3C5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BF-4DF9-B302-9635086A3C5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BF-4DF9-B302-9635086A3C5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-3.4954658292256817</c:v>
                </c:pt>
                <c:pt idx="1">
                  <c:v>-3.736825041832867</c:v>
                </c:pt>
                <c:pt idx="2">
                  <c:v>-3.7505626502562182</c:v>
                </c:pt>
                <c:pt idx="3">
                  <c:v>-3.7505626502562182</c:v>
                </c:pt>
                <c:pt idx="4">
                  <c:v>-3.7509853459000135</c:v>
                </c:pt>
                <c:pt idx="5">
                  <c:v>-3.757114432735047</c:v>
                </c:pt>
                <c:pt idx="6">
                  <c:v>-3.7619754326386943</c:v>
                </c:pt>
                <c:pt idx="7">
                  <c:v>-4.6583015453068839</c:v>
                </c:pt>
                <c:pt idx="8">
                  <c:v>-6.6012220720125354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BF-4DF9-B302-9635086A3C5C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BF-4DF9-B302-9635086A3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2408"/>
        <c:axId val="1"/>
      </c:scatterChart>
      <c:valAx>
        <c:axId val="717692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2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198513474104"/>
          <c:y val="0.92397937099967764"/>
          <c:w val="0.7327338361984031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 Vul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45864661654135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7B-45D6-94D4-AABA33B2C18F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4'!$I$21:$I$999</c:f>
              <c:numCache>
                <c:formatCode>General</c:formatCode>
                <c:ptCount val="979"/>
                <c:pt idx="1">
                  <c:v>3.5081499998341314E-2</c:v>
                </c:pt>
                <c:pt idx="2">
                  <c:v>6.5845500001159962E-2</c:v>
                </c:pt>
                <c:pt idx="3">
                  <c:v>8.2945499998459127E-2</c:v>
                </c:pt>
                <c:pt idx="4">
                  <c:v>6.873500000074273E-2</c:v>
                </c:pt>
                <c:pt idx="5">
                  <c:v>0.13238450000062585</c:v>
                </c:pt>
                <c:pt idx="6">
                  <c:v>9.6365500001411419E-2</c:v>
                </c:pt>
                <c:pt idx="7">
                  <c:v>2.8167999997094739E-2</c:v>
                </c:pt>
                <c:pt idx="8">
                  <c:v>-9.4066000172460917E-2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7B-45D6-94D4-AABA33B2C18F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7B-45D6-94D4-AABA33B2C18F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7B-45D6-94D4-AABA33B2C18F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7B-45D6-94D4-AABA33B2C18F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7B-45D6-94D4-AABA33B2C18F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7B-45D6-94D4-AABA33B2C18F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4'!$O$21:$O$999</c:f>
              <c:numCache>
                <c:formatCode>General</c:formatCode>
                <c:ptCount val="979"/>
                <c:pt idx="0">
                  <c:v>8.0072622220188766E-2</c:v>
                </c:pt>
                <c:pt idx="1">
                  <c:v>6.7418250953623166E-2</c:v>
                </c:pt>
                <c:pt idx="2">
                  <c:v>6.6699847853924576E-2</c:v>
                </c:pt>
                <c:pt idx="3">
                  <c:v>6.6699847853924576E-2</c:v>
                </c:pt>
                <c:pt idx="4">
                  <c:v>6.6677397757058998E-2</c:v>
                </c:pt>
                <c:pt idx="5">
                  <c:v>6.6355613035319005E-2</c:v>
                </c:pt>
                <c:pt idx="6">
                  <c:v>6.6101178604175762E-2</c:v>
                </c:pt>
                <c:pt idx="7">
                  <c:v>1.9068225670784381E-2</c:v>
                </c:pt>
                <c:pt idx="8">
                  <c:v>-8.3633484123625063E-2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7B-45D6-94D4-AABA33B2C18F}"/>
            </c:ext>
          </c:extLst>
        </c:ser>
        <c:ser>
          <c:idx val="8"/>
          <c:order val="8"/>
          <c:tx>
            <c:strRef>
              <c:f>'Active 4'!$R$20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7B-45D6-94D4-AABA33B2C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1328"/>
        <c:axId val="1"/>
      </c:scatterChart>
      <c:valAx>
        <c:axId val="717691328"/>
        <c:scaling>
          <c:orientation val="minMax"/>
          <c:max val="700"/>
          <c:min val="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1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 Vul - O-C Diagr.</a:t>
            </a:r>
          </a:p>
        </c:rich>
      </c:tx>
      <c:layout>
        <c:manualLayout>
          <c:xMode val="edge"/>
          <c:yMode val="edge"/>
          <c:x val="0.3708713437847295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4035127795846455"/>
          <c:w val="0.8303315478538321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6B-4E1D-9F58-39874FFCB063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4'!$I$21:$I$999</c:f>
              <c:numCache>
                <c:formatCode>General</c:formatCode>
                <c:ptCount val="979"/>
                <c:pt idx="1">
                  <c:v>3.5081499998341314E-2</c:v>
                </c:pt>
                <c:pt idx="2">
                  <c:v>6.5845500001159962E-2</c:v>
                </c:pt>
                <c:pt idx="3">
                  <c:v>8.2945499998459127E-2</c:v>
                </c:pt>
                <c:pt idx="4">
                  <c:v>6.873500000074273E-2</c:v>
                </c:pt>
                <c:pt idx="5">
                  <c:v>0.13238450000062585</c:v>
                </c:pt>
                <c:pt idx="6">
                  <c:v>9.6365500001411419E-2</c:v>
                </c:pt>
                <c:pt idx="7">
                  <c:v>2.8167999997094739E-2</c:v>
                </c:pt>
                <c:pt idx="8">
                  <c:v>-9.4066000172460917E-2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6B-4E1D-9F58-39874FFCB063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6B-4E1D-9F58-39874FFCB063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6B-4E1D-9F58-39874FFCB063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6B-4E1D-9F58-39874FFCB063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6B-4E1D-9F58-39874FFCB063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6B-4E1D-9F58-39874FFCB063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4'!$O$21:$O$999</c:f>
              <c:numCache>
                <c:formatCode>General</c:formatCode>
                <c:ptCount val="979"/>
                <c:pt idx="0">
                  <c:v>8.0072622220188766E-2</c:v>
                </c:pt>
                <c:pt idx="1">
                  <c:v>6.7418250953623166E-2</c:v>
                </c:pt>
                <c:pt idx="2">
                  <c:v>6.6699847853924576E-2</c:v>
                </c:pt>
                <c:pt idx="3">
                  <c:v>6.6699847853924576E-2</c:v>
                </c:pt>
                <c:pt idx="4">
                  <c:v>6.6677397757058998E-2</c:v>
                </c:pt>
                <c:pt idx="5">
                  <c:v>6.6355613035319005E-2</c:v>
                </c:pt>
                <c:pt idx="6">
                  <c:v>6.6101178604175762E-2</c:v>
                </c:pt>
                <c:pt idx="7">
                  <c:v>1.9068225670784381E-2</c:v>
                </c:pt>
                <c:pt idx="8">
                  <c:v>-8.3633484123625063E-2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6B-4E1D-9F58-39874FFCB063}"/>
            </c:ext>
          </c:extLst>
        </c:ser>
        <c:ser>
          <c:idx val="8"/>
          <c:order val="8"/>
          <c:tx>
            <c:strRef>
              <c:f>'Active 4'!$R$20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6B-4E1D-9F58-39874FFCB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69008"/>
        <c:axId val="1"/>
      </c:scatterChart>
      <c:valAx>
        <c:axId val="717669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69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70301797860851"/>
          <c:y val="0.92397937099967764"/>
          <c:w val="0.7327338361984032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 Vul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8E-4CEE-880A-2C5247F4C922}"/>
            </c:ext>
          </c:extLst>
        </c:ser>
        <c:ser>
          <c:idx val="1"/>
          <c:order val="1"/>
          <c:tx>
            <c:strRef>
              <c:f>'Active 5'!$I$20:$I$20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5'!$I$21:$I$999</c:f>
              <c:numCache>
                <c:formatCode>General</c:formatCode>
                <c:ptCount val="979"/>
                <c:pt idx="1">
                  <c:v>-8.6432398442411795E-2</c:v>
                </c:pt>
                <c:pt idx="2">
                  <c:v>-9.9349870470177848E-2</c:v>
                </c:pt>
                <c:pt idx="3">
                  <c:v>-8.2249870472878683E-2</c:v>
                </c:pt>
                <c:pt idx="4">
                  <c:v>-9.7825416472915094E-2</c:v>
                </c:pt>
                <c:pt idx="5">
                  <c:v>-5.374157581536565E-2</c:v>
                </c:pt>
                <c:pt idx="6">
                  <c:v>-0.10523109715722967</c:v>
                </c:pt>
                <c:pt idx="7">
                  <c:v>-0.11757333081186516</c:v>
                </c:pt>
                <c:pt idx="8">
                  <c:v>-5.2674625985673629E-3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8E-4CEE-880A-2C5247F4C922}"/>
            </c:ext>
          </c:extLst>
        </c:ser>
        <c:ser>
          <c:idx val="3"/>
          <c:order val="2"/>
          <c:tx>
            <c:strRef>
              <c:f>'Active 5'!$J$20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8E-4CEE-880A-2C5247F4C922}"/>
            </c:ext>
          </c:extLst>
        </c:ser>
        <c:ser>
          <c:idx val="4"/>
          <c:order val="3"/>
          <c:tx>
            <c:strRef>
              <c:f>'Active 5'!$K$20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8E-4CEE-880A-2C5247F4C922}"/>
            </c:ext>
          </c:extLst>
        </c:ser>
        <c:ser>
          <c:idx val="2"/>
          <c:order val="4"/>
          <c:tx>
            <c:strRef>
              <c:f>'Active 5'!$L$20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8E-4CEE-880A-2C5247F4C922}"/>
            </c:ext>
          </c:extLst>
        </c:ser>
        <c:ser>
          <c:idx val="5"/>
          <c:order val="5"/>
          <c:tx>
            <c:strRef>
              <c:f>'Active 5'!$M$20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8E-4CEE-880A-2C5247F4C922}"/>
            </c:ext>
          </c:extLst>
        </c:ser>
        <c:ser>
          <c:idx val="6"/>
          <c:order val="6"/>
          <c:tx>
            <c:strRef>
              <c:f>'Active 5'!$N$20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8E-4CEE-880A-2C5247F4C922}"/>
            </c:ext>
          </c:extLst>
        </c:ser>
        <c:ser>
          <c:idx val="7"/>
          <c:order val="7"/>
          <c:tx>
            <c:strRef>
              <c:f>'Active 5'!$O$20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5'!$O$21:$O$999</c:f>
              <c:numCache>
                <c:formatCode>General</c:formatCode>
                <c:ptCount val="979"/>
                <c:pt idx="0">
                  <c:v>-9.9374007635434358E-2</c:v>
                </c:pt>
                <c:pt idx="1">
                  <c:v>-9.3264718563661281E-2</c:v>
                </c:pt>
                <c:pt idx="2">
                  <c:v>-9.291747655602943E-2</c:v>
                </c:pt>
                <c:pt idx="3">
                  <c:v>-9.291747655602943E-2</c:v>
                </c:pt>
                <c:pt idx="4">
                  <c:v>-9.2906625243290936E-2</c:v>
                </c:pt>
                <c:pt idx="5">
                  <c:v>-9.2751089760705827E-2</c:v>
                </c:pt>
                <c:pt idx="6">
                  <c:v>-9.26281082163362E-2</c:v>
                </c:pt>
                <c:pt idx="7">
                  <c:v>-6.9927161967403229E-2</c:v>
                </c:pt>
                <c:pt idx="8">
                  <c:v>-2.0358365377954935E-2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8E-4CEE-880A-2C5247F4C922}"/>
            </c:ext>
          </c:extLst>
        </c:ser>
        <c:ser>
          <c:idx val="8"/>
          <c:order val="8"/>
          <c:tx>
            <c:strRef>
              <c:f>'Active 5'!$R$20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8E-4CEE-880A-2C5247F4C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72968"/>
        <c:axId val="1"/>
      </c:scatterChart>
      <c:valAx>
        <c:axId val="717672968"/>
        <c:scaling>
          <c:orientation val="minMax"/>
          <c:max val="700"/>
          <c:min val="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72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 Vul - O-C Diagr.</a:t>
            </a:r>
          </a:p>
        </c:rich>
      </c:tx>
      <c:layout>
        <c:manualLayout>
          <c:xMode val="edge"/>
          <c:yMode val="edge"/>
          <c:x val="0.3708713437847295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24325533041146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C3-4017-8735-415B8FABC1F5}"/>
            </c:ext>
          </c:extLst>
        </c:ser>
        <c:ser>
          <c:idx val="1"/>
          <c:order val="1"/>
          <c:tx>
            <c:strRef>
              <c:f>'Active 5'!$I$20:$I$20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5'!$I$21:$I$999</c:f>
              <c:numCache>
                <c:formatCode>General</c:formatCode>
                <c:ptCount val="979"/>
                <c:pt idx="1">
                  <c:v>-8.6432398442411795E-2</c:v>
                </c:pt>
                <c:pt idx="2">
                  <c:v>-9.9349870470177848E-2</c:v>
                </c:pt>
                <c:pt idx="3">
                  <c:v>-8.2249870472878683E-2</c:v>
                </c:pt>
                <c:pt idx="4">
                  <c:v>-9.7825416472915094E-2</c:v>
                </c:pt>
                <c:pt idx="5">
                  <c:v>-5.374157581536565E-2</c:v>
                </c:pt>
                <c:pt idx="6">
                  <c:v>-0.10523109715722967</c:v>
                </c:pt>
                <c:pt idx="7">
                  <c:v>-0.11757333081186516</c:v>
                </c:pt>
                <c:pt idx="8">
                  <c:v>-5.2674625985673629E-3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C3-4017-8735-415B8FABC1F5}"/>
            </c:ext>
          </c:extLst>
        </c:ser>
        <c:ser>
          <c:idx val="3"/>
          <c:order val="2"/>
          <c:tx>
            <c:strRef>
              <c:f>'Active 5'!$J$20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C3-4017-8735-415B8FABC1F5}"/>
            </c:ext>
          </c:extLst>
        </c:ser>
        <c:ser>
          <c:idx val="4"/>
          <c:order val="3"/>
          <c:tx>
            <c:strRef>
              <c:f>'Active 5'!$K$20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C3-4017-8735-415B8FABC1F5}"/>
            </c:ext>
          </c:extLst>
        </c:ser>
        <c:ser>
          <c:idx val="2"/>
          <c:order val="4"/>
          <c:tx>
            <c:strRef>
              <c:f>'Active 5'!$L$20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C3-4017-8735-415B8FABC1F5}"/>
            </c:ext>
          </c:extLst>
        </c:ser>
        <c:ser>
          <c:idx val="5"/>
          <c:order val="5"/>
          <c:tx>
            <c:strRef>
              <c:f>'Active 5'!$M$20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C3-4017-8735-415B8FABC1F5}"/>
            </c:ext>
          </c:extLst>
        </c:ser>
        <c:ser>
          <c:idx val="6"/>
          <c:order val="6"/>
          <c:tx>
            <c:strRef>
              <c:f>'Active 5'!$N$20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C3-4017-8735-415B8FABC1F5}"/>
            </c:ext>
          </c:extLst>
        </c:ser>
        <c:ser>
          <c:idx val="7"/>
          <c:order val="7"/>
          <c:tx>
            <c:strRef>
              <c:f>'Active 5'!$O$20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5'!$O$21:$O$999</c:f>
              <c:numCache>
                <c:formatCode>General</c:formatCode>
                <c:ptCount val="979"/>
                <c:pt idx="0">
                  <c:v>-9.9374007635434358E-2</c:v>
                </c:pt>
                <c:pt idx="1">
                  <c:v>-9.3264718563661281E-2</c:v>
                </c:pt>
                <c:pt idx="2">
                  <c:v>-9.291747655602943E-2</c:v>
                </c:pt>
                <c:pt idx="3">
                  <c:v>-9.291747655602943E-2</c:v>
                </c:pt>
                <c:pt idx="4">
                  <c:v>-9.2906625243290936E-2</c:v>
                </c:pt>
                <c:pt idx="5">
                  <c:v>-9.2751089760705827E-2</c:v>
                </c:pt>
                <c:pt idx="6">
                  <c:v>-9.26281082163362E-2</c:v>
                </c:pt>
                <c:pt idx="7">
                  <c:v>-6.9927161967403229E-2</c:v>
                </c:pt>
                <c:pt idx="8">
                  <c:v>-2.0358365377954935E-2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C3-4017-8735-415B8FABC1F5}"/>
            </c:ext>
          </c:extLst>
        </c:ser>
        <c:ser>
          <c:idx val="8"/>
          <c:order val="8"/>
          <c:tx>
            <c:strRef>
              <c:f>'Active 5'!$R$20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C3-4017-8735-415B8FABC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620720"/>
        <c:axId val="1"/>
      </c:scatterChart>
      <c:valAx>
        <c:axId val="720620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620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20451948011001"/>
          <c:y val="0.92397937099967764"/>
          <c:w val="0.7327338361984031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0</xdr:rowOff>
    </xdr:from>
    <xdr:to>
      <xdr:col>18</xdr:col>
      <xdr:colOff>28575</xdr:colOff>
      <xdr:row>19</xdr:row>
      <xdr:rowOff>0</xdr:rowOff>
    </xdr:to>
    <xdr:graphicFrame macro="">
      <xdr:nvGraphicFramePr>
        <xdr:cNvPr id="54283" name="Chart 1">
          <a:extLst>
            <a:ext uri="{FF2B5EF4-FFF2-40B4-BE49-F238E27FC236}">
              <a16:creationId xmlns:a16="http://schemas.microsoft.com/office/drawing/2014/main" id="{56164A41-BC56-E50E-53AB-5B653E44C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28</xdr:col>
      <xdr:colOff>171450</xdr:colOff>
      <xdr:row>19</xdr:row>
      <xdr:rowOff>9525</xdr:rowOff>
    </xdr:to>
    <xdr:graphicFrame macro="">
      <xdr:nvGraphicFramePr>
        <xdr:cNvPr id="54284" name="Chart 2">
          <a:extLst>
            <a:ext uri="{FF2B5EF4-FFF2-40B4-BE49-F238E27FC236}">
              <a16:creationId xmlns:a16="http://schemas.microsoft.com/office/drawing/2014/main" id="{0E433307-02E3-7368-2B5B-6E50DC869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0</xdr:rowOff>
    </xdr:from>
    <xdr:to>
      <xdr:col>16</xdr:col>
      <xdr:colOff>323850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55A4471F-CBEC-7004-AEA0-74B8BF109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0</xdr:rowOff>
    </xdr:from>
    <xdr:to>
      <xdr:col>18</xdr:col>
      <xdr:colOff>28575</xdr:colOff>
      <xdr:row>19</xdr:row>
      <xdr:rowOff>0</xdr:rowOff>
    </xdr:to>
    <xdr:graphicFrame macro="">
      <xdr:nvGraphicFramePr>
        <xdr:cNvPr id="50187" name="Chart 1">
          <a:extLst>
            <a:ext uri="{FF2B5EF4-FFF2-40B4-BE49-F238E27FC236}">
              <a16:creationId xmlns:a16="http://schemas.microsoft.com/office/drawing/2014/main" id="{ABE1A5F4-5B27-9FAB-0BF2-D4C51BE25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28</xdr:col>
      <xdr:colOff>171450</xdr:colOff>
      <xdr:row>19</xdr:row>
      <xdr:rowOff>9525</xdr:rowOff>
    </xdr:to>
    <xdr:graphicFrame macro="">
      <xdr:nvGraphicFramePr>
        <xdr:cNvPr id="50188" name="Chart 2">
          <a:extLst>
            <a:ext uri="{FF2B5EF4-FFF2-40B4-BE49-F238E27FC236}">
              <a16:creationId xmlns:a16="http://schemas.microsoft.com/office/drawing/2014/main" id="{61D01BCF-1562-C101-40F4-5F7E2DE01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0</xdr:rowOff>
    </xdr:from>
    <xdr:to>
      <xdr:col>18</xdr:col>
      <xdr:colOff>28575</xdr:colOff>
      <xdr:row>19</xdr:row>
      <xdr:rowOff>0</xdr:rowOff>
    </xdr:to>
    <xdr:graphicFrame macro="">
      <xdr:nvGraphicFramePr>
        <xdr:cNvPr id="56331" name="Chart 1">
          <a:extLst>
            <a:ext uri="{FF2B5EF4-FFF2-40B4-BE49-F238E27FC236}">
              <a16:creationId xmlns:a16="http://schemas.microsoft.com/office/drawing/2014/main" id="{682C6554-DE58-8E6B-A3D0-58F0A73D4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28</xdr:col>
      <xdr:colOff>171450</xdr:colOff>
      <xdr:row>19</xdr:row>
      <xdr:rowOff>9525</xdr:rowOff>
    </xdr:to>
    <xdr:graphicFrame macro="">
      <xdr:nvGraphicFramePr>
        <xdr:cNvPr id="56332" name="Chart 2">
          <a:extLst>
            <a:ext uri="{FF2B5EF4-FFF2-40B4-BE49-F238E27FC236}">
              <a16:creationId xmlns:a16="http://schemas.microsoft.com/office/drawing/2014/main" id="{581548F9-9BE0-98A8-AF20-71CBA3209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0</xdr:rowOff>
    </xdr:from>
    <xdr:to>
      <xdr:col>18</xdr:col>
      <xdr:colOff>28575</xdr:colOff>
      <xdr:row>19</xdr:row>
      <xdr:rowOff>0</xdr:rowOff>
    </xdr:to>
    <xdr:graphicFrame macro="">
      <xdr:nvGraphicFramePr>
        <xdr:cNvPr id="58379" name="Chart 1">
          <a:extLst>
            <a:ext uri="{FF2B5EF4-FFF2-40B4-BE49-F238E27FC236}">
              <a16:creationId xmlns:a16="http://schemas.microsoft.com/office/drawing/2014/main" id="{CC279383-3588-33EE-70DA-AF45C9015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28</xdr:col>
      <xdr:colOff>171450</xdr:colOff>
      <xdr:row>19</xdr:row>
      <xdr:rowOff>9525</xdr:rowOff>
    </xdr:to>
    <xdr:graphicFrame macro="">
      <xdr:nvGraphicFramePr>
        <xdr:cNvPr id="58380" name="Chart 2">
          <a:extLst>
            <a:ext uri="{FF2B5EF4-FFF2-40B4-BE49-F238E27FC236}">
              <a16:creationId xmlns:a16="http://schemas.microsoft.com/office/drawing/2014/main" id="{D8393D4B-A626-39A4-EE3A-9B6A1FE5F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6940"/>
  <sheetViews>
    <sheetView tabSelected="1" workbookViewId="0">
      <selection activeCell="F14" sqref="F1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44</v>
      </c>
      <c r="C2" s="3"/>
      <c r="D2" s="3"/>
      <c r="E2" s="31" t="s">
        <v>42</v>
      </c>
      <c r="F2" t="s">
        <v>45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52756.21</v>
      </c>
    </row>
    <row r="8" spans="1:7" x14ac:dyDescent="0.2">
      <c r="A8" t="s">
        <v>3</v>
      </c>
      <c r="C8" s="8">
        <v>0.95880130686700737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4.6404319257983211E-2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-1.0488137564044041E-5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60178.866433101852</v>
      </c>
    </row>
    <row r="15" spans="1:7" x14ac:dyDescent="0.2">
      <c r="A15" s="12" t="s">
        <v>17</v>
      </c>
      <c r="B15" s="10"/>
      <c r="C15" s="13">
        <f ca="1">(C7+C11)+(C8+C12)*INT(MAX(F21:F3533))</f>
        <v>59833.091437361276</v>
      </c>
      <c r="D15" s="14" t="s">
        <v>39</v>
      </c>
      <c r="E15" s="15">
        <f ca="1">ROUND(2*(E14-$C$7)/$C$8,0)/2+E13</f>
        <v>7742.5</v>
      </c>
    </row>
    <row r="16" spans="1:7" x14ac:dyDescent="0.2">
      <c r="A16" s="16" t="s">
        <v>4</v>
      </c>
      <c r="B16" s="10"/>
      <c r="C16" s="17">
        <f ca="1">+C8+C12</f>
        <v>0.95879081872944338</v>
      </c>
      <c r="D16" s="14" t="s">
        <v>40</v>
      </c>
      <c r="E16" s="24">
        <f ca="1">ROUND(2*(E14-$C$15)/$C$16,0)/2+E13</f>
        <v>361.5</v>
      </c>
    </row>
    <row r="17" spans="1:19" ht="13.5" thickBot="1" x14ac:dyDescent="0.25">
      <c r="A17" s="14" t="s">
        <v>30</v>
      </c>
      <c r="B17" s="10"/>
      <c r="C17" s="10">
        <f>COUNT(C21:C2191)</f>
        <v>9</v>
      </c>
      <c r="D17" s="14" t="s">
        <v>34</v>
      </c>
      <c r="E17" s="18">
        <f ca="1">+$C$15+$C$16*E16-15018.5-$C$9/24</f>
        <v>45161.590151665303</v>
      </c>
    </row>
    <row r="18" spans="1:19" ht="14.25" thickTop="1" thickBot="1" x14ac:dyDescent="0.25">
      <c r="A18" s="16" t="s">
        <v>5</v>
      </c>
      <c r="B18" s="10"/>
      <c r="C18" s="19">
        <f ca="1">+C15</f>
        <v>59833.091437361276</v>
      </c>
      <c r="D18" s="20">
        <f ca="1">+C16</f>
        <v>0.95879081872944338</v>
      </c>
      <c r="E18" s="21" t="s">
        <v>35</v>
      </c>
      <c r="F18">
        <v>14</v>
      </c>
    </row>
    <row r="19" spans="1:19" ht="13.5" thickTop="1" x14ac:dyDescent="0.2">
      <c r="A19" s="25" t="s">
        <v>36</v>
      </c>
      <c r="E19" s="26">
        <v>21</v>
      </c>
      <c r="F19">
        <v>3.5</v>
      </c>
      <c r="S19">
        <f ca="1">SQRT(SUM(S21:S28)/(COUNT(S21:S28)-1))</f>
        <v>3.6516950727953801E-2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">
        <v>46</v>
      </c>
      <c r="C21" s="8">
        <f>C$7</f>
        <v>52756.21</v>
      </c>
      <c r="D21" s="8" t="s">
        <v>13</v>
      </c>
      <c r="E21">
        <f t="shared" ref="E21:E28" si="0">+(C21-C$7)/C$8</f>
        <v>0</v>
      </c>
      <c r="F21">
        <f>ROUND(2*E21,0)/2</f>
        <v>0</v>
      </c>
      <c r="G21">
        <f t="shared" ref="G21:G28" si="1">+C21-(C$7+F21*C$8)</f>
        <v>0</v>
      </c>
      <c r="H21">
        <f>+G21</f>
        <v>0</v>
      </c>
      <c r="O21">
        <f t="shared" ref="O21:O28" ca="1" si="2">+C$11+C$12*$F21</f>
        <v>4.6404319257983211E-2</v>
      </c>
      <c r="Q21" s="2">
        <f t="shared" ref="Q21:Q28" si="3">+C21-15018.5</f>
        <v>37737.71</v>
      </c>
      <c r="S21">
        <f ca="1">(O21-G21)^2</f>
        <v>2.1533608457968314E-3</v>
      </c>
    </row>
    <row r="22" spans="1:19" x14ac:dyDescent="0.2">
      <c r="A22" s="32" t="s">
        <v>47</v>
      </c>
      <c r="B22" s="33" t="s">
        <v>48</v>
      </c>
      <c r="C22" s="32">
        <v>53303.289499999999</v>
      </c>
      <c r="D22" s="32">
        <v>5.0000000000000001E-4</v>
      </c>
      <c r="E22">
        <f t="shared" si="0"/>
        <v>570.58693608548003</v>
      </c>
      <c r="F22">
        <f t="shared" ref="F22:F28" si="4">ROUND(2*E22,0)/2</f>
        <v>570.5</v>
      </c>
      <c r="G22">
        <f t="shared" si="1"/>
        <v>8.3354432368651032E-2</v>
      </c>
      <c r="I22">
        <f t="shared" ref="I22:I28" si="5">+G22</f>
        <v>8.3354432368651032E-2</v>
      </c>
      <c r="O22">
        <f t="shared" ca="1" si="2"/>
        <v>4.0420836777696083E-2</v>
      </c>
      <c r="Q22" s="2">
        <f t="shared" si="3"/>
        <v>38284.789499999999</v>
      </c>
      <c r="S22">
        <f t="shared" ref="S22:S28" ca="1" si="6">(O22-G22)^2</f>
        <v>1.8432936303676662E-3</v>
      </c>
    </row>
    <row r="23" spans="1:19" x14ac:dyDescent="0.2">
      <c r="A23" s="32" t="s">
        <v>47</v>
      </c>
      <c r="B23" s="33" t="s">
        <v>48</v>
      </c>
      <c r="C23" s="32">
        <v>53334.376600000003</v>
      </c>
      <c r="D23" s="32">
        <v>6.9999999999999999E-4</v>
      </c>
      <c r="E23">
        <f t="shared" si="0"/>
        <v>603.0098163812786</v>
      </c>
      <c r="F23">
        <f t="shared" si="4"/>
        <v>603</v>
      </c>
      <c r="G23">
        <f t="shared" si="1"/>
        <v>9.4119591958587989E-3</v>
      </c>
      <c r="I23">
        <f t="shared" si="5"/>
        <v>9.4119591958587989E-3</v>
      </c>
      <c r="O23">
        <f t="shared" ca="1" si="2"/>
        <v>4.0079972306864657E-2</v>
      </c>
      <c r="Q23" s="2">
        <f t="shared" si="3"/>
        <v>38315.876600000003</v>
      </c>
      <c r="S23">
        <f t="shared" ca="1" si="6"/>
        <v>9.4052702817682722E-4</v>
      </c>
    </row>
    <row r="24" spans="1:19" x14ac:dyDescent="0.2">
      <c r="A24" s="32" t="s">
        <v>47</v>
      </c>
      <c r="B24" s="33" t="s">
        <v>48</v>
      </c>
      <c r="C24" s="32">
        <v>53334.393700000001</v>
      </c>
      <c r="D24" s="32">
        <v>6.6E-3</v>
      </c>
      <c r="E24">
        <f t="shared" si="0"/>
        <v>603.0276511504585</v>
      </c>
      <c r="F24">
        <f t="shared" si="4"/>
        <v>603</v>
      </c>
      <c r="G24">
        <f t="shared" si="1"/>
        <v>2.6511959193157963E-2</v>
      </c>
      <c r="I24">
        <f t="shared" si="5"/>
        <v>2.6511959193157963E-2</v>
      </c>
      <c r="O24">
        <f t="shared" ca="1" si="2"/>
        <v>4.0079972306864657E-2</v>
      </c>
      <c r="Q24" s="2">
        <f t="shared" si="3"/>
        <v>38315.893700000001</v>
      </c>
      <c r="S24">
        <f t="shared" ca="1" si="6"/>
        <v>1.8409097985371681E-4</v>
      </c>
    </row>
    <row r="25" spans="1:19" x14ac:dyDescent="0.2">
      <c r="A25" s="32" t="s">
        <v>47</v>
      </c>
      <c r="B25" s="33" t="s">
        <v>48</v>
      </c>
      <c r="C25" s="32">
        <v>53335.35</v>
      </c>
      <c r="D25" s="32">
        <v>8.9999999999999998E-4</v>
      </c>
      <c r="E25">
        <f t="shared" si="0"/>
        <v>604.02504236503955</v>
      </c>
      <c r="F25">
        <f t="shared" si="4"/>
        <v>604</v>
      </c>
      <c r="G25">
        <f t="shared" si="1"/>
        <v>2.4010652326978743E-2</v>
      </c>
      <c r="I25">
        <f t="shared" si="5"/>
        <v>2.4010652326978743E-2</v>
      </c>
      <c r="O25">
        <f t="shared" ca="1" si="2"/>
        <v>4.0069484169300611E-2</v>
      </c>
      <c r="Q25" s="2">
        <f t="shared" si="3"/>
        <v>38316.85</v>
      </c>
      <c r="S25">
        <f t="shared" ca="1" si="6"/>
        <v>2.5788608013997075E-4</v>
      </c>
    </row>
    <row r="26" spans="1:19" x14ac:dyDescent="0.2">
      <c r="A26" s="32" t="s">
        <v>47</v>
      </c>
      <c r="B26" s="33" t="s">
        <v>48</v>
      </c>
      <c r="C26" s="32">
        <v>53349.3243</v>
      </c>
      <c r="D26" s="32">
        <v>1.6000000000000001E-3</v>
      </c>
      <c r="E26">
        <f t="shared" si="0"/>
        <v>618.59980347551857</v>
      </c>
      <c r="F26">
        <f t="shared" si="4"/>
        <v>618.5</v>
      </c>
      <c r="G26">
        <f t="shared" si="1"/>
        <v>9.569170275790384E-2</v>
      </c>
      <c r="I26">
        <f t="shared" si="5"/>
        <v>9.569170275790384E-2</v>
      </c>
      <c r="O26">
        <f t="shared" ca="1" si="2"/>
        <v>3.9917406174621972E-2</v>
      </c>
      <c r="Q26" s="2">
        <f t="shared" si="3"/>
        <v>38330.8243</v>
      </c>
      <c r="S26">
        <f t="shared" ca="1" si="6"/>
        <v>3.1107721593598876E-3</v>
      </c>
    </row>
    <row r="27" spans="1:19" x14ac:dyDescent="0.2">
      <c r="A27" s="32" t="s">
        <v>47</v>
      </c>
      <c r="B27" s="33" t="s">
        <v>48</v>
      </c>
      <c r="C27" s="32">
        <v>53360.287400000001</v>
      </c>
      <c r="D27" s="32">
        <v>5.9999999999999995E-4</v>
      </c>
      <c r="E27">
        <f t="shared" si="0"/>
        <v>630.03397645951668</v>
      </c>
      <c r="F27">
        <f t="shared" si="4"/>
        <v>630</v>
      </c>
      <c r="G27">
        <f t="shared" si="1"/>
        <v>3.2576673787843902E-2</v>
      </c>
      <c r="I27">
        <f t="shared" si="5"/>
        <v>3.2576673787843902E-2</v>
      </c>
      <c r="O27">
        <f t="shared" ca="1" si="2"/>
        <v>3.9796792592635466E-2</v>
      </c>
      <c r="Q27" s="2">
        <f t="shared" si="3"/>
        <v>38341.787400000001</v>
      </c>
      <c r="S27">
        <f t="shared" ca="1" si="6"/>
        <v>5.213011555530477E-5</v>
      </c>
    </row>
    <row r="28" spans="1:19" x14ac:dyDescent="0.2">
      <c r="A28" s="32" t="s">
        <v>49</v>
      </c>
      <c r="B28" s="33" t="s">
        <v>48</v>
      </c>
      <c r="C28" s="32">
        <v>55393.438699999999</v>
      </c>
      <c r="D28" s="32">
        <v>2.9999999999999997E-4</v>
      </c>
      <c r="E28">
        <f t="shared" si="0"/>
        <v>2750.547669378388</v>
      </c>
      <c r="F28">
        <f t="shared" si="4"/>
        <v>2750.5</v>
      </c>
      <c r="G28">
        <f t="shared" si="1"/>
        <v>4.5705462296609767E-2</v>
      </c>
      <c r="I28">
        <f t="shared" si="5"/>
        <v>4.5705462296609767E-2</v>
      </c>
      <c r="O28">
        <f t="shared" ca="1" si="2"/>
        <v>1.7556696888080078E-2</v>
      </c>
      <c r="Q28" s="2">
        <f t="shared" si="3"/>
        <v>40374.938699999999</v>
      </c>
      <c r="S28">
        <f t="shared" ca="1" si="6"/>
        <v>7.923529940244376E-4</v>
      </c>
    </row>
    <row r="29" spans="1:19" x14ac:dyDescent="0.2">
      <c r="A29" s="36" t="s">
        <v>50</v>
      </c>
      <c r="B29" s="37" t="s">
        <v>48</v>
      </c>
      <c r="C29" s="38">
        <v>59833.078499999829</v>
      </c>
      <c r="D29" s="8"/>
      <c r="E29">
        <f t="shared" ref="E29" si="7">+(C29-C$7)/C$8</f>
        <v>7380.9541657012387</v>
      </c>
      <c r="F29">
        <f t="shared" ref="F29" si="8">ROUND(2*E29,0)/2</f>
        <v>7381</v>
      </c>
      <c r="G29">
        <f t="shared" ref="G29" si="9">+C29-(C$7+F29*C$8)</f>
        <v>-4.3945985555183142E-2</v>
      </c>
      <c r="I29">
        <f t="shared" ref="I29" si="10">+G29</f>
        <v>-4.3945985555183142E-2</v>
      </c>
      <c r="O29">
        <f t="shared" ref="O29" ca="1" si="11">+C$11+C$12*$F29</f>
        <v>-3.1008624102225858E-2</v>
      </c>
      <c r="Q29" s="2">
        <f t="shared" ref="Q29" si="12">+C29-15018.5</f>
        <v>44814.578499999829</v>
      </c>
      <c r="S29">
        <f t="shared" ref="S29" ca="1" si="13">(O29-G29)^2</f>
        <v>1.67375321364465E-4</v>
      </c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44</v>
      </c>
      <c r="C2" s="3"/>
      <c r="D2" s="3"/>
      <c r="E2" s="31" t="s">
        <v>42</v>
      </c>
      <c r="F2" t="s">
        <v>45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52756.21</v>
      </c>
      <c r="D7" s="30" t="s">
        <v>46</v>
      </c>
    </row>
    <row r="8" spans="1:7" x14ac:dyDescent="0.2">
      <c r="A8" t="s">
        <v>3</v>
      </c>
      <c r="C8" s="8">
        <v>0.96362999999999999</v>
      </c>
      <c r="D8" s="30" t="s">
        <v>46</v>
      </c>
    </row>
    <row r="9" spans="1:7" x14ac:dyDescent="0.2">
      <c r="A9" s="9" t="s">
        <v>31</v>
      </c>
      <c r="B9" s="10"/>
      <c r="C9" s="11">
        <v>-9.5</v>
      </c>
      <c r="D9" s="35" t="s">
        <v>38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1.3517311291288206E-3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-1.2812268501031842E-5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60178.866433101852</v>
      </c>
    </row>
    <row r="15" spans="1:7" x14ac:dyDescent="0.2">
      <c r="A15" s="12" t="s">
        <v>17</v>
      </c>
      <c r="B15" s="10"/>
      <c r="C15" s="13">
        <f ca="1">(C7+C11)+(C8+C12)*INT(MAX(F21:F3533))</f>
        <v>59833.015978431256</v>
      </c>
      <c r="D15" s="14" t="s">
        <v>39</v>
      </c>
      <c r="E15" s="15">
        <f ca="1">ROUND(2*(E14-$C$7)/$C$8,0)/2+E13</f>
        <v>7704</v>
      </c>
    </row>
    <row r="16" spans="1:7" x14ac:dyDescent="0.2">
      <c r="A16" s="16" t="s">
        <v>4</v>
      </c>
      <c r="B16" s="10"/>
      <c r="C16" s="17">
        <f ca="1">+C8+C12</f>
        <v>0.96361718773149896</v>
      </c>
      <c r="D16" s="14" t="s">
        <v>40</v>
      </c>
      <c r="E16" s="24">
        <f ca="1">ROUND(2*(E14-$C$15)/$C$16,0)/2+E13</f>
        <v>360</v>
      </c>
    </row>
    <row r="17" spans="1:19" ht="13.5" thickBot="1" x14ac:dyDescent="0.25">
      <c r="A17" s="14" t="s">
        <v>30</v>
      </c>
      <c r="B17" s="10"/>
      <c r="C17" s="10">
        <f>COUNT(C21:C2191)</f>
        <v>9</v>
      </c>
      <c r="D17" s="14" t="s">
        <v>34</v>
      </c>
      <c r="E17" s="18">
        <f ca="1">+$C$15+$C$16*E16-15018.5-$C$9/24</f>
        <v>45161.813999347934</v>
      </c>
    </row>
    <row r="18" spans="1:19" ht="14.25" thickTop="1" thickBot="1" x14ac:dyDescent="0.25">
      <c r="A18" s="16" t="s">
        <v>5</v>
      </c>
      <c r="B18" s="10"/>
      <c r="C18" s="19">
        <f ca="1">+C15</f>
        <v>59833.015978431256</v>
      </c>
      <c r="D18" s="20">
        <f ca="1">+C16</f>
        <v>0.96361718773149896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SQRT(SUM(S21:S28)/(COUNT(S21:S28)-1))</f>
        <v>0.11998606641042048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D$7</f>
        <v>VSX</v>
      </c>
      <c r="C21" s="8">
        <f>C$7</f>
        <v>52756.21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1.3517311291288206E-3</v>
      </c>
      <c r="Q21" s="2">
        <f>+C21-15018.5</f>
        <v>37737.71</v>
      </c>
      <c r="S21">
        <f ca="1">(O21-G21)^2</f>
        <v>1.8271770454558762E-6</v>
      </c>
    </row>
    <row r="22" spans="1:19" x14ac:dyDescent="0.2">
      <c r="A22" s="32" t="s">
        <v>47</v>
      </c>
      <c r="B22" s="33" t="s">
        <v>48</v>
      </c>
      <c r="C22" s="32">
        <v>53303.289499999999</v>
      </c>
      <c r="D22" s="32">
        <v>5.0000000000000001E-4</v>
      </c>
      <c r="E22">
        <f t="shared" ref="E22:E28" si="0">+(C22-C$7)/C$8</f>
        <v>567.72775857953764</v>
      </c>
      <c r="F22">
        <f t="shared" ref="F22:F28" si="1">ROUND(2*E22,0)/2</f>
        <v>567.5</v>
      </c>
      <c r="G22">
        <f t="shared" ref="G22:G28" si="2">+C22-(C$7+F22*C$8)</f>
        <v>0.21947499999805586</v>
      </c>
      <c r="I22">
        <f t="shared" ref="I22:I28" si="3">+G22</f>
        <v>0.21947499999805586</v>
      </c>
      <c r="O22">
        <f t="shared" ref="O22:O28" ca="1" si="4">+C$11+C$12*$F22</f>
        <v>-5.9192312452067495E-3</v>
      </c>
      <c r="Q22" s="2">
        <f t="shared" ref="Q22:Q28" si="5">+C22-15018.5</f>
        <v>38284.789499999999</v>
      </c>
      <c r="S22">
        <f t="shared" ref="S22:S28" ca="1" si="6">(O22-G22)^2</f>
        <v>5.0802559477741337E-2</v>
      </c>
    </row>
    <row r="23" spans="1:19" x14ac:dyDescent="0.2">
      <c r="A23" s="32" t="s">
        <v>47</v>
      </c>
      <c r="B23" s="33" t="s">
        <v>48</v>
      </c>
      <c r="C23" s="32">
        <v>53334.376600000003</v>
      </c>
      <c r="D23" s="32">
        <v>6.9999999999999999E-4</v>
      </c>
      <c r="E23">
        <f t="shared" si="0"/>
        <v>599.98816973320061</v>
      </c>
      <c r="F23">
        <f t="shared" si="1"/>
        <v>600</v>
      </c>
      <c r="G23">
        <f t="shared" si="2"/>
        <v>-1.1399999995774124E-2</v>
      </c>
      <c r="I23">
        <f t="shared" si="3"/>
        <v>-1.1399999995774124E-2</v>
      </c>
      <c r="O23">
        <f t="shared" ca="1" si="4"/>
        <v>-6.3356299714902847E-3</v>
      </c>
      <c r="Q23" s="2">
        <f t="shared" si="5"/>
        <v>38315.876600000003</v>
      </c>
      <c r="S23">
        <f t="shared" ca="1" si="6"/>
        <v>2.5647843742864693E-5</v>
      </c>
    </row>
    <row r="24" spans="1:19" x14ac:dyDescent="0.2">
      <c r="A24" s="32" t="s">
        <v>47</v>
      </c>
      <c r="B24" s="33" t="s">
        <v>48</v>
      </c>
      <c r="C24" s="32">
        <v>53334.393700000001</v>
      </c>
      <c r="D24" s="32">
        <v>6.6E-3</v>
      </c>
      <c r="E24">
        <f t="shared" si="0"/>
        <v>600.00591513340328</v>
      </c>
      <c r="F24">
        <f t="shared" si="1"/>
        <v>600</v>
      </c>
      <c r="G24">
        <f t="shared" si="2"/>
        <v>5.7000000015250407E-3</v>
      </c>
      <c r="I24">
        <f t="shared" si="3"/>
        <v>5.7000000015250407E-3</v>
      </c>
      <c r="O24">
        <f t="shared" ca="1" si="4"/>
        <v>-6.3356299714902847E-3</v>
      </c>
      <c r="Q24" s="2">
        <f t="shared" si="5"/>
        <v>38315.893700000001</v>
      </c>
      <c r="S24">
        <f t="shared" ca="1" si="6"/>
        <v>1.4485638884734488E-4</v>
      </c>
    </row>
    <row r="25" spans="1:19" x14ac:dyDescent="0.2">
      <c r="A25" s="32" t="s">
        <v>47</v>
      </c>
      <c r="B25" s="33" t="s">
        <v>48</v>
      </c>
      <c r="C25" s="32">
        <v>53335.35</v>
      </c>
      <c r="D25" s="32">
        <v>8.9999999999999998E-4</v>
      </c>
      <c r="E25">
        <f t="shared" si="0"/>
        <v>600.99830847939506</v>
      </c>
      <c r="F25">
        <f t="shared" si="1"/>
        <v>601</v>
      </c>
      <c r="G25">
        <f t="shared" si="2"/>
        <v>-1.6299999988405034E-3</v>
      </c>
      <c r="I25">
        <f t="shared" si="3"/>
        <v>-1.6299999988405034E-3</v>
      </c>
      <c r="O25">
        <f t="shared" ca="1" si="4"/>
        <v>-6.348442239991316E-3</v>
      </c>
      <c r="Q25" s="2">
        <f t="shared" si="5"/>
        <v>38316.85</v>
      </c>
      <c r="S25">
        <f t="shared" ca="1" si="6"/>
        <v>2.2263697183076302E-5</v>
      </c>
    </row>
    <row r="26" spans="1:19" x14ac:dyDescent="0.2">
      <c r="A26" s="32" t="s">
        <v>47</v>
      </c>
      <c r="B26" s="33" t="s">
        <v>48</v>
      </c>
      <c r="C26" s="32">
        <v>53349.3243</v>
      </c>
      <c r="D26" s="32">
        <v>1.6000000000000001E-3</v>
      </c>
      <c r="E26">
        <f t="shared" si="0"/>
        <v>615.50003632099572</v>
      </c>
      <c r="F26">
        <f t="shared" si="1"/>
        <v>615.5</v>
      </c>
      <c r="G26">
        <f t="shared" si="2"/>
        <v>3.5000004572793841E-5</v>
      </c>
      <c r="I26">
        <f t="shared" si="3"/>
        <v>3.5000004572793841E-5</v>
      </c>
      <c r="O26">
        <f t="shared" ca="1" si="4"/>
        <v>-6.5342201332562778E-3</v>
      </c>
      <c r="Q26" s="2">
        <f t="shared" si="5"/>
        <v>38330.8243</v>
      </c>
      <c r="S26">
        <f t="shared" ca="1" si="6"/>
        <v>4.3154653219259005E-5</v>
      </c>
    </row>
    <row r="27" spans="1:19" x14ac:dyDescent="0.2">
      <c r="A27" s="32" t="s">
        <v>47</v>
      </c>
      <c r="B27" s="33" t="s">
        <v>48</v>
      </c>
      <c r="C27" s="32">
        <v>53360.287400000001</v>
      </c>
      <c r="D27" s="32">
        <v>5.9999999999999995E-4</v>
      </c>
      <c r="E27">
        <f t="shared" si="0"/>
        <v>626.87691333810892</v>
      </c>
      <c r="F27">
        <f t="shared" si="1"/>
        <v>627</v>
      </c>
      <c r="G27">
        <f t="shared" si="2"/>
        <v>-0.11860999999771593</v>
      </c>
      <c r="I27">
        <f t="shared" si="3"/>
        <v>-0.11860999999771593</v>
      </c>
      <c r="O27">
        <f t="shared" ca="1" si="4"/>
        <v>-6.6815612210181438E-3</v>
      </c>
      <c r="Q27" s="2">
        <f t="shared" si="5"/>
        <v>38341.787400000001</v>
      </c>
      <c r="S27">
        <f t="shared" ca="1" si="6"/>
        <v>1.2527975406988983E-2</v>
      </c>
    </row>
    <row r="28" spans="1:19" x14ac:dyDescent="0.2">
      <c r="A28" s="32" t="s">
        <v>49</v>
      </c>
      <c r="B28" s="33" t="s">
        <v>48</v>
      </c>
      <c r="C28" s="32">
        <v>55393.438699999999</v>
      </c>
      <c r="D28" s="32">
        <v>2.9999999999999997E-4</v>
      </c>
      <c r="E28">
        <f t="shared" si="0"/>
        <v>2736.7648371262826</v>
      </c>
      <c r="F28">
        <f t="shared" si="1"/>
        <v>2737</v>
      </c>
      <c r="G28">
        <f t="shared" si="2"/>
        <v>-0.22660999999789055</v>
      </c>
      <c r="I28">
        <f t="shared" si="3"/>
        <v>-0.22660999999789055</v>
      </c>
      <c r="O28">
        <f t="shared" ca="1" si="4"/>
        <v>-3.3715447758195329E-2</v>
      </c>
      <c r="Q28" s="2">
        <f t="shared" si="5"/>
        <v>40374.938699999999</v>
      </c>
      <c r="S28">
        <f t="shared" ca="1" si="6"/>
        <v>3.720830828375251E-2</v>
      </c>
    </row>
    <row r="29" spans="1:19" x14ac:dyDescent="0.2">
      <c r="A29" s="36" t="s">
        <v>50</v>
      </c>
      <c r="B29" s="37" t="s">
        <v>48</v>
      </c>
      <c r="C29" s="38">
        <v>59833.078499999829</v>
      </c>
      <c r="D29" s="8"/>
      <c r="E29">
        <f t="shared" ref="E29" si="7">+(C29-C$7)/C$8</f>
        <v>7343.9686394153669</v>
      </c>
      <c r="F29">
        <f t="shared" ref="F29" si="8">ROUND(2*E29,0)/2</f>
        <v>7344</v>
      </c>
      <c r="G29">
        <f t="shared" ref="G29" si="9">+C29-(C$7+F29*C$8)</f>
        <v>-3.0220000167901162E-2</v>
      </c>
      <c r="I29">
        <f t="shared" ref="I29" si="10">+G29</f>
        <v>-3.0220000167901162E-2</v>
      </c>
      <c r="O29">
        <f t="shared" ref="O29" ca="1" si="11">+C$11+C$12*$F29</f>
        <v>-9.2741568742449015E-2</v>
      </c>
      <c r="Q29" s="2">
        <f t="shared" ref="Q29" si="12">+C29-15018.5</f>
        <v>44814.578499999829</v>
      </c>
      <c r="S29">
        <f t="shared" ref="S29" ca="1" si="13">(O29-G29)^2</f>
        <v>3.9089465370218896E-3</v>
      </c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selection activeCell="F7" sqref="F6: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44</v>
      </c>
      <c r="C2" s="3"/>
      <c r="D2" s="3"/>
      <c r="E2" s="31" t="s">
        <v>42</v>
      </c>
      <c r="F2" t="s">
        <v>45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52756.21</v>
      </c>
      <c r="D7" s="30" t="s">
        <v>46</v>
      </c>
    </row>
    <row r="8" spans="1:7" x14ac:dyDescent="0.2">
      <c r="A8" t="s">
        <v>3</v>
      </c>
      <c r="C8" s="8">
        <v>0.96362999999999999</v>
      </c>
      <c r="D8" s="30" t="s">
        <v>46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-3.4954658292256817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-4.2269564379542073E-4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60178.866433101852</v>
      </c>
    </row>
    <row r="15" spans="1:7" x14ac:dyDescent="0.2">
      <c r="A15" s="12" t="s">
        <v>17</v>
      </c>
      <c r="B15" s="10"/>
      <c r="C15" s="13">
        <f ca="1">(C7+C11)+(C8+C12)*INT(MAX(F21:F3533))</f>
        <v>59829.39859927581</v>
      </c>
      <c r="D15" s="14" t="s">
        <v>39</v>
      </c>
      <c r="E15" s="15">
        <f ca="1">ROUND(2*(E14-$C$7)/$C$8,0)/2+E13</f>
        <v>7704</v>
      </c>
    </row>
    <row r="16" spans="1:7" x14ac:dyDescent="0.2">
      <c r="A16" s="16" t="s">
        <v>4</v>
      </c>
      <c r="B16" s="10"/>
      <c r="C16" s="17">
        <f ca="1">+C8+C12</f>
        <v>0.96320730435620461</v>
      </c>
      <c r="D16" s="14" t="s">
        <v>40</v>
      </c>
      <c r="E16" s="24">
        <f ca="1">ROUND(2*(E14-$C$15)/$C$16,0)/2+E13</f>
        <v>364</v>
      </c>
    </row>
    <row r="17" spans="1:19" ht="13.5" thickBot="1" x14ac:dyDescent="0.25">
      <c r="A17" s="14" t="s">
        <v>30</v>
      </c>
      <c r="B17" s="10"/>
      <c r="C17" s="10">
        <f>COUNT(C21:C2191)</f>
        <v>9</v>
      </c>
      <c r="D17" s="14" t="s">
        <v>34</v>
      </c>
      <c r="E17" s="18">
        <f ca="1">+$C$15+$C$16*E16-15018.5-$C$9/24</f>
        <v>45161.901891394802</v>
      </c>
    </row>
    <row r="18" spans="1:19" ht="14.25" thickTop="1" thickBot="1" x14ac:dyDescent="0.25">
      <c r="A18" s="16" t="s">
        <v>5</v>
      </c>
      <c r="B18" s="10"/>
      <c r="C18" s="19">
        <f ca="1">+C15</f>
        <v>59829.39859927581</v>
      </c>
      <c r="D18" s="20">
        <f ca="1">+C16</f>
        <v>0.96320730435620461</v>
      </c>
      <c r="E18" s="21" t="s">
        <v>35</v>
      </c>
      <c r="F18">
        <v>14</v>
      </c>
    </row>
    <row r="19" spans="1:19" ht="13.5" thickTop="1" x14ac:dyDescent="0.2">
      <c r="A19" s="25" t="s">
        <v>36</v>
      </c>
      <c r="E19" s="26">
        <v>21</v>
      </c>
      <c r="F19">
        <v>3.5</v>
      </c>
      <c r="S19">
        <f ca="1">SQRT(SUM(S21:S28)/(COUNT(S21:S28)-1))</f>
        <v>3.6891927233462614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D$7</f>
        <v>VSX</v>
      </c>
      <c r="C21" s="8">
        <f>C$7</f>
        <v>52756.21</v>
      </c>
      <c r="D21" s="8" t="s">
        <v>13</v>
      </c>
      <c r="E21">
        <f t="shared" ref="E21:E28" si="0">+(C21-C$7)/C$8</f>
        <v>0</v>
      </c>
      <c r="F21">
        <f>ROUND(2*E21,0)/2</f>
        <v>0</v>
      </c>
      <c r="G21">
        <f t="shared" ref="G21:G27" si="1">+C21-(C$7+F21*C$8)</f>
        <v>0</v>
      </c>
      <c r="H21">
        <f>+G21</f>
        <v>0</v>
      </c>
      <c r="O21">
        <f t="shared" ref="O21:O27" ca="1" si="2">+C$11+C$12*$F21</f>
        <v>-3.4954658292256817</v>
      </c>
      <c r="Q21" s="2">
        <f t="shared" ref="Q21:Q27" si="3">+C21-15018.5</f>
        <v>37737.71</v>
      </c>
      <c r="S21">
        <f ca="1">(O21-G21)^2</f>
        <v>12.218281363284383</v>
      </c>
    </row>
    <row r="22" spans="1:19" x14ac:dyDescent="0.2">
      <c r="A22" s="32" t="s">
        <v>47</v>
      </c>
      <c r="B22" s="33" t="s">
        <v>48</v>
      </c>
      <c r="C22" s="32">
        <v>53303.289499999999</v>
      </c>
      <c r="D22" s="32">
        <v>5.0000000000000001E-4</v>
      </c>
      <c r="E22">
        <f t="shared" si="0"/>
        <v>567.72775857953764</v>
      </c>
      <c r="F22" s="34">
        <f t="shared" ref="F22:F27" si="4">ROUND(2*E22,0)/2+F$19</f>
        <v>571</v>
      </c>
      <c r="G22">
        <f t="shared" si="1"/>
        <v>-3.153230000003532</v>
      </c>
      <c r="I22">
        <f t="shared" ref="I22:I27" si="5">+G22</f>
        <v>-3.153230000003532</v>
      </c>
      <c r="O22">
        <f t="shared" ca="1" si="2"/>
        <v>-3.736825041832867</v>
      </c>
      <c r="Q22" s="2">
        <f t="shared" si="3"/>
        <v>38284.789499999999</v>
      </c>
      <c r="S22">
        <f t="shared" ref="S22:S28" ca="1" si="6">(O22-G22)^2</f>
        <v>0.34058317284778322</v>
      </c>
    </row>
    <row r="23" spans="1:19" x14ac:dyDescent="0.2">
      <c r="A23" s="32" t="s">
        <v>47</v>
      </c>
      <c r="B23" s="33" t="s">
        <v>48</v>
      </c>
      <c r="C23" s="32">
        <v>53334.376600000003</v>
      </c>
      <c r="D23" s="32">
        <v>6.9999999999999999E-4</v>
      </c>
      <c r="E23">
        <f t="shared" si="0"/>
        <v>599.98816973320061</v>
      </c>
      <c r="F23" s="34">
        <f t="shared" si="4"/>
        <v>603.5</v>
      </c>
      <c r="G23">
        <f t="shared" si="1"/>
        <v>-3.384104999997362</v>
      </c>
      <c r="I23">
        <f t="shared" si="5"/>
        <v>-3.384104999997362</v>
      </c>
      <c r="O23">
        <f t="shared" ca="1" si="2"/>
        <v>-3.7505626502562182</v>
      </c>
      <c r="Q23" s="2">
        <f t="shared" si="3"/>
        <v>38315.876600000003</v>
      </c>
      <c r="S23">
        <f t="shared" ca="1" si="6"/>
        <v>0.1342912094332421</v>
      </c>
    </row>
    <row r="24" spans="1:19" x14ac:dyDescent="0.2">
      <c r="A24" s="32" t="s">
        <v>47</v>
      </c>
      <c r="B24" s="33" t="s">
        <v>48</v>
      </c>
      <c r="C24" s="32">
        <v>53334.393700000001</v>
      </c>
      <c r="D24" s="32">
        <v>6.6E-3</v>
      </c>
      <c r="E24">
        <f t="shared" si="0"/>
        <v>600.00591513340328</v>
      </c>
      <c r="F24" s="34">
        <f t="shared" si="4"/>
        <v>603.5</v>
      </c>
      <c r="G24">
        <f t="shared" si="1"/>
        <v>-3.3670050000000629</v>
      </c>
      <c r="I24">
        <f t="shared" si="5"/>
        <v>-3.3670050000000629</v>
      </c>
      <c r="O24">
        <f t="shared" ca="1" si="2"/>
        <v>-3.7505626502562182</v>
      </c>
      <c r="Q24" s="2">
        <f t="shared" si="3"/>
        <v>38315.893700000001</v>
      </c>
      <c r="S24">
        <f t="shared" ca="1" si="6"/>
        <v>0.14711647107002315</v>
      </c>
    </row>
    <row r="25" spans="1:19" x14ac:dyDescent="0.2">
      <c r="A25" s="32" t="s">
        <v>47</v>
      </c>
      <c r="B25" s="33" t="s">
        <v>48</v>
      </c>
      <c r="C25" s="32">
        <v>53335.35</v>
      </c>
      <c r="D25" s="32">
        <v>8.9999999999999998E-4</v>
      </c>
      <c r="E25">
        <f t="shared" si="0"/>
        <v>600.99830847939506</v>
      </c>
      <c r="F25" s="34">
        <f t="shared" si="4"/>
        <v>604.5</v>
      </c>
      <c r="G25">
        <f t="shared" si="1"/>
        <v>-3.3743350000004284</v>
      </c>
      <c r="I25">
        <f t="shared" si="5"/>
        <v>-3.3743350000004284</v>
      </c>
      <c r="O25">
        <f t="shared" ca="1" si="2"/>
        <v>-3.7509853459000135</v>
      </c>
      <c r="Q25" s="2">
        <f t="shared" si="3"/>
        <v>38316.85</v>
      </c>
      <c r="S25">
        <f t="shared" ca="1" si="6"/>
        <v>0.14186548306627711</v>
      </c>
    </row>
    <row r="26" spans="1:19" x14ac:dyDescent="0.2">
      <c r="A26" s="32" t="s">
        <v>47</v>
      </c>
      <c r="B26" s="33" t="s">
        <v>48</v>
      </c>
      <c r="C26" s="32">
        <v>53349.3243</v>
      </c>
      <c r="D26" s="32">
        <v>1.6000000000000001E-3</v>
      </c>
      <c r="E26">
        <f t="shared" si="0"/>
        <v>615.50003632099572</v>
      </c>
      <c r="F26" s="34">
        <f t="shared" si="4"/>
        <v>619</v>
      </c>
      <c r="G26">
        <f t="shared" si="1"/>
        <v>-3.3726699999970151</v>
      </c>
      <c r="I26">
        <f t="shared" si="5"/>
        <v>-3.3726699999970151</v>
      </c>
      <c r="O26">
        <f t="shared" ca="1" si="2"/>
        <v>-3.757114432735047</v>
      </c>
      <c r="Q26" s="2">
        <f t="shared" si="3"/>
        <v>38330.8243</v>
      </c>
      <c r="S26">
        <f t="shared" ca="1" si="6"/>
        <v>0.14779752186326711</v>
      </c>
    </row>
    <row r="27" spans="1:19" x14ac:dyDescent="0.2">
      <c r="A27" s="32" t="s">
        <v>47</v>
      </c>
      <c r="B27" s="33" t="s">
        <v>48</v>
      </c>
      <c r="C27" s="32">
        <v>53360.287400000001</v>
      </c>
      <c r="D27" s="32">
        <v>5.9999999999999995E-4</v>
      </c>
      <c r="E27">
        <f t="shared" si="0"/>
        <v>626.87691333810892</v>
      </c>
      <c r="F27" s="34">
        <f t="shared" si="4"/>
        <v>630.5</v>
      </c>
      <c r="G27">
        <f t="shared" si="1"/>
        <v>-3.4913149999993038</v>
      </c>
      <c r="I27">
        <f t="shared" si="5"/>
        <v>-3.4913149999993038</v>
      </c>
      <c r="O27">
        <f t="shared" ca="1" si="2"/>
        <v>-3.7619754326386943</v>
      </c>
      <c r="Q27" s="2">
        <f t="shared" si="3"/>
        <v>38341.787400000001</v>
      </c>
      <c r="S27">
        <f t="shared" ca="1" si="6"/>
        <v>7.3257069796542007E-2</v>
      </c>
    </row>
    <row r="28" spans="1:19" x14ac:dyDescent="0.2">
      <c r="A28" s="32" t="s">
        <v>49</v>
      </c>
      <c r="B28" s="33" t="s">
        <v>48</v>
      </c>
      <c r="C28" s="32">
        <v>55393.438699999999</v>
      </c>
      <c r="D28" s="32">
        <v>2.9999999999999997E-4</v>
      </c>
      <c r="E28">
        <f t="shared" si="0"/>
        <v>2736.7648371262826</v>
      </c>
      <c r="F28" s="34">
        <f>ROUND(2*E28,0)/2+F18</f>
        <v>2751</v>
      </c>
      <c r="G28">
        <f>+C28-(C$7+F28*C$8)</f>
        <v>-13.717429999996966</v>
      </c>
      <c r="I28">
        <f>+G28</f>
        <v>-13.717429999996966</v>
      </c>
      <c r="O28">
        <f ca="1">+C$11+C$12*$F28</f>
        <v>-4.6583015453068839</v>
      </c>
      <c r="Q28" s="2">
        <f>+C28-15018.5</f>
        <v>40374.938699999999</v>
      </c>
      <c r="S28">
        <f t="shared" ca="1" si="6"/>
        <v>82.067808358575519</v>
      </c>
    </row>
    <row r="29" spans="1:19" x14ac:dyDescent="0.2">
      <c r="A29" s="36" t="s">
        <v>50</v>
      </c>
      <c r="B29" s="37" t="s">
        <v>48</v>
      </c>
      <c r="C29" s="38">
        <v>59833.078499999829</v>
      </c>
      <c r="D29" s="8"/>
      <c r="E29">
        <f t="shared" ref="E29" si="7">+(C29-C$7)/C$8</f>
        <v>7343.9686394153669</v>
      </c>
      <c r="F29" s="34">
        <f>ROUND(2*E29,0)/2+F19</f>
        <v>7347.5</v>
      </c>
      <c r="G29">
        <f>+C29-(C$7+F29*C$8)</f>
        <v>-3.4029250001694891</v>
      </c>
      <c r="I29">
        <f>+G29</f>
        <v>-3.4029250001694891</v>
      </c>
      <c r="O29">
        <f ca="1">+C$11+C$12*$F29</f>
        <v>-6.6012220720125354</v>
      </c>
      <c r="Q29" s="2">
        <f>+C29-15018.5</f>
        <v>44814.578499999829</v>
      </c>
      <c r="S29">
        <f t="shared" ref="S29" ca="1" si="8">(O29-G29)^2</f>
        <v>10.229104159759805</v>
      </c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selection activeCell="F14" sqref="F1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44</v>
      </c>
      <c r="C2" s="3"/>
      <c r="D2" s="3"/>
      <c r="E2" s="31" t="s">
        <v>42</v>
      </c>
      <c r="F2" t="s">
        <v>45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52756.21</v>
      </c>
    </row>
    <row r="8" spans="1:7" x14ac:dyDescent="0.2">
      <c r="A8" t="s">
        <v>3</v>
      </c>
      <c r="C8" s="8">
        <v>0.647007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8.0072622220188766E-2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-1.4966731243720408E-5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60178.866433101852</v>
      </c>
    </row>
    <row r="15" spans="1:7" x14ac:dyDescent="0.2">
      <c r="A15" s="12" t="s">
        <v>17</v>
      </c>
      <c r="B15" s="10"/>
      <c r="C15" s="13">
        <f ca="1">(C7+C11)+(C8+C12)*INT(MAX(F21:F3533))</f>
        <v>59833.088932515879</v>
      </c>
      <c r="D15" s="14" t="s">
        <v>39</v>
      </c>
      <c r="E15" s="15">
        <f ca="1">ROUND(2*(E14-$C$7)/$C$8,0)/2+E13</f>
        <v>11473.5</v>
      </c>
    </row>
    <row r="16" spans="1:7" x14ac:dyDescent="0.2">
      <c r="A16" s="16" t="s">
        <v>4</v>
      </c>
      <c r="B16" s="10"/>
      <c r="C16" s="17">
        <f ca="1">+C8+C12</f>
        <v>0.64699203326875632</v>
      </c>
      <c r="D16" s="14" t="s">
        <v>40</v>
      </c>
      <c r="E16" s="24">
        <f ca="1">ROUND(2*(E14-$C$15)/$C$16,0)/2+E13</f>
        <v>535.5</v>
      </c>
    </row>
    <row r="17" spans="1:19" ht="13.5" thickBot="1" x14ac:dyDescent="0.25">
      <c r="A17" s="14" t="s">
        <v>30</v>
      </c>
      <c r="B17" s="10"/>
      <c r="C17" s="10">
        <f>COUNT(C21:C2191)</f>
        <v>9</v>
      </c>
      <c r="D17" s="14" t="s">
        <v>34</v>
      </c>
      <c r="E17" s="18">
        <f ca="1">+$C$15+$C$16*E16-15018.5-$C$9/24</f>
        <v>45161.448999664637</v>
      </c>
    </row>
    <row r="18" spans="1:19" ht="14.25" thickTop="1" thickBot="1" x14ac:dyDescent="0.25">
      <c r="A18" s="16" t="s">
        <v>5</v>
      </c>
      <c r="B18" s="10"/>
      <c r="C18" s="19">
        <f ca="1">+C15</f>
        <v>59833.088932515879</v>
      </c>
      <c r="D18" s="20">
        <f ca="1">+C16</f>
        <v>0.64699203326875632</v>
      </c>
      <c r="E18" s="21" t="s">
        <v>35</v>
      </c>
      <c r="F18">
        <v>14</v>
      </c>
    </row>
    <row r="19" spans="1:19" ht="13.5" thickTop="1" x14ac:dyDescent="0.2">
      <c r="A19" s="25" t="s">
        <v>36</v>
      </c>
      <c r="E19" s="26">
        <v>21</v>
      </c>
      <c r="F19">
        <v>3.5</v>
      </c>
      <c r="S19">
        <f ca="1">SQRT(SUM(S21:S28)/(COUNT(S21:S28)-1))</f>
        <v>4.323478113528368E-2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">
        <v>46</v>
      </c>
      <c r="C21" s="8">
        <f>C$7</f>
        <v>52756.21</v>
      </c>
      <c r="D21" s="8" t="s">
        <v>13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8.0072622220188766E-2</v>
      </c>
      <c r="Q21" s="2">
        <f t="shared" ref="Q21:Q28" si="4">+C21-15018.5</f>
        <v>37737.71</v>
      </c>
      <c r="S21">
        <f t="shared" ref="S21:S28" ca="1" si="5">(O21-G21)^2</f>
        <v>6.4116248292170677E-3</v>
      </c>
    </row>
    <row r="22" spans="1:19" x14ac:dyDescent="0.2">
      <c r="A22" s="32" t="s">
        <v>47</v>
      </c>
      <c r="B22" s="33" t="s">
        <v>48</v>
      </c>
      <c r="C22" s="32">
        <v>53303.289499999999</v>
      </c>
      <c r="D22" s="32">
        <v>5.0000000000000001E-4</v>
      </c>
      <c r="E22">
        <f t="shared" si="0"/>
        <v>845.55422120626179</v>
      </c>
      <c r="F22">
        <f t="shared" si="1"/>
        <v>845.5</v>
      </c>
      <c r="G22">
        <f t="shared" si="2"/>
        <v>3.5081499998341314E-2</v>
      </c>
      <c r="I22">
        <f t="shared" ref="I22:I28" si="6">+G22</f>
        <v>3.5081499998341314E-2</v>
      </c>
      <c r="O22">
        <f t="shared" ca="1" si="3"/>
        <v>6.7418250953623166E-2</v>
      </c>
      <c r="Q22" s="2">
        <f t="shared" si="4"/>
        <v>38284.789499999999</v>
      </c>
      <c r="S22">
        <f t="shared" ca="1" si="5"/>
        <v>1.0456654623439217E-3</v>
      </c>
    </row>
    <row r="23" spans="1:19" x14ac:dyDescent="0.2">
      <c r="A23" s="32" t="s">
        <v>47</v>
      </c>
      <c r="B23" s="33" t="s">
        <v>48</v>
      </c>
      <c r="C23" s="32">
        <v>53334.376600000003</v>
      </c>
      <c r="D23" s="32">
        <v>6.9999999999999999E-4</v>
      </c>
      <c r="E23">
        <f t="shared" si="0"/>
        <v>893.60176937808114</v>
      </c>
      <c r="F23">
        <f t="shared" si="1"/>
        <v>893.5</v>
      </c>
      <c r="G23">
        <f t="shared" si="2"/>
        <v>6.5845500001159962E-2</v>
      </c>
      <c r="I23">
        <f t="shared" si="6"/>
        <v>6.5845500001159962E-2</v>
      </c>
      <c r="O23">
        <f t="shared" ca="1" si="3"/>
        <v>6.6699847853924576E-2</v>
      </c>
      <c r="Q23" s="2">
        <f t="shared" si="4"/>
        <v>38315.876600000003</v>
      </c>
      <c r="S23">
        <f t="shared" ca="1" si="5"/>
        <v>7.2991025352350693E-7</v>
      </c>
    </row>
    <row r="24" spans="1:19" x14ac:dyDescent="0.2">
      <c r="A24" s="32" t="s">
        <v>47</v>
      </c>
      <c r="B24" s="33" t="s">
        <v>48</v>
      </c>
      <c r="C24" s="32">
        <v>53334.393700000001</v>
      </c>
      <c r="D24" s="32">
        <v>6.6E-3</v>
      </c>
      <c r="E24">
        <f t="shared" si="0"/>
        <v>893.62819876755805</v>
      </c>
      <c r="F24">
        <f t="shared" si="1"/>
        <v>893.5</v>
      </c>
      <c r="G24">
        <f t="shared" si="2"/>
        <v>8.2945499998459127E-2</v>
      </c>
      <c r="I24">
        <f t="shared" si="6"/>
        <v>8.2945499998459127E-2</v>
      </c>
      <c r="O24">
        <f t="shared" ca="1" si="3"/>
        <v>6.6699847853924576E-2</v>
      </c>
      <c r="Q24" s="2">
        <f t="shared" si="4"/>
        <v>38315.893700000001</v>
      </c>
      <c r="S24">
        <f t="shared" ca="1" si="5"/>
        <v>2.6392121360122001E-4</v>
      </c>
    </row>
    <row r="25" spans="1:19" x14ac:dyDescent="0.2">
      <c r="A25" s="32" t="s">
        <v>47</v>
      </c>
      <c r="B25" s="33" t="s">
        <v>48</v>
      </c>
      <c r="C25" s="32">
        <v>53335.35</v>
      </c>
      <c r="D25" s="32">
        <v>8.9999999999999998E-4</v>
      </c>
      <c r="E25">
        <f t="shared" si="0"/>
        <v>895.10623532666477</v>
      </c>
      <c r="F25">
        <f t="shared" si="1"/>
        <v>895</v>
      </c>
      <c r="G25">
        <f t="shared" si="2"/>
        <v>6.873500000074273E-2</v>
      </c>
      <c r="I25">
        <f t="shared" si="6"/>
        <v>6.873500000074273E-2</v>
      </c>
      <c r="O25">
        <f t="shared" ca="1" si="3"/>
        <v>6.6677397757058998E-2</v>
      </c>
      <c r="Q25" s="2">
        <f t="shared" si="4"/>
        <v>38316.85</v>
      </c>
      <c r="S25">
        <f t="shared" ca="1" si="5"/>
        <v>4.2337269932123264E-6</v>
      </c>
    </row>
    <row r="26" spans="1:19" x14ac:dyDescent="0.2">
      <c r="A26" s="32" t="s">
        <v>47</v>
      </c>
      <c r="B26" s="33" t="s">
        <v>48</v>
      </c>
      <c r="C26" s="32">
        <v>53349.3243</v>
      </c>
      <c r="D26" s="32">
        <v>1.6000000000000001E-3</v>
      </c>
      <c r="E26">
        <f t="shared" si="0"/>
        <v>916.70461061472452</v>
      </c>
      <c r="F26">
        <f t="shared" si="1"/>
        <v>916.5</v>
      </c>
      <c r="G26">
        <f t="shared" si="2"/>
        <v>0.13238450000062585</v>
      </c>
      <c r="I26">
        <f t="shared" si="6"/>
        <v>0.13238450000062585</v>
      </c>
      <c r="O26">
        <f t="shared" ca="1" si="3"/>
        <v>6.6355613035319005E-2</v>
      </c>
      <c r="Q26" s="2">
        <f t="shared" si="4"/>
        <v>38330.8243</v>
      </c>
      <c r="S26">
        <f t="shared" ca="1" si="5"/>
        <v>4.3598139138772678E-3</v>
      </c>
    </row>
    <row r="27" spans="1:19" x14ac:dyDescent="0.2">
      <c r="A27" s="32" t="s">
        <v>47</v>
      </c>
      <c r="B27" s="33" t="s">
        <v>48</v>
      </c>
      <c r="C27" s="32">
        <v>53360.287400000001</v>
      </c>
      <c r="D27" s="32">
        <v>5.9999999999999995E-4</v>
      </c>
      <c r="E27">
        <f t="shared" si="0"/>
        <v>933.64894042877734</v>
      </c>
      <c r="F27">
        <f t="shared" si="1"/>
        <v>933.5</v>
      </c>
      <c r="G27">
        <f t="shared" si="2"/>
        <v>9.6365500001411419E-2</v>
      </c>
      <c r="I27">
        <f t="shared" si="6"/>
        <v>9.6365500001411419E-2</v>
      </c>
      <c r="O27">
        <f t="shared" ca="1" si="3"/>
        <v>6.6101178604175762E-2</v>
      </c>
      <c r="Q27" s="2">
        <f t="shared" si="4"/>
        <v>38341.787400000001</v>
      </c>
      <c r="S27">
        <f t="shared" ca="1" si="5"/>
        <v>9.1592914963517611E-4</v>
      </c>
    </row>
    <row r="28" spans="1:19" x14ac:dyDescent="0.2">
      <c r="A28" s="32" t="s">
        <v>49</v>
      </c>
      <c r="B28" s="33" t="s">
        <v>48</v>
      </c>
      <c r="C28" s="32">
        <v>55393.438699999999</v>
      </c>
      <c r="D28" s="32">
        <v>2.9999999999999997E-4</v>
      </c>
      <c r="E28">
        <f t="shared" si="0"/>
        <v>4076.0435358504615</v>
      </c>
      <c r="F28">
        <f t="shared" si="1"/>
        <v>4076</v>
      </c>
      <c r="G28">
        <f t="shared" si="2"/>
        <v>2.8167999997094739E-2</v>
      </c>
      <c r="I28">
        <f t="shared" si="6"/>
        <v>2.8167999997094739E-2</v>
      </c>
      <c r="O28">
        <f t="shared" ca="1" si="3"/>
        <v>1.9068225670784381E-2</v>
      </c>
      <c r="Q28" s="2">
        <f t="shared" si="4"/>
        <v>40374.938699999999</v>
      </c>
      <c r="S28">
        <f t="shared" ca="1" si="5"/>
        <v>8.2805892789777143E-5</v>
      </c>
    </row>
    <row r="29" spans="1:19" x14ac:dyDescent="0.2">
      <c r="A29" s="36" t="s">
        <v>50</v>
      </c>
      <c r="B29" s="37" t="s">
        <v>48</v>
      </c>
      <c r="C29" s="38">
        <v>59833.078499999829</v>
      </c>
      <c r="D29" s="8"/>
      <c r="E29">
        <f t="shared" ref="E29" si="7">+(C29-C$7)/C$8</f>
        <v>10937.854613628337</v>
      </c>
      <c r="F29">
        <f t="shared" ref="F29" si="8">ROUND(2*E29,0)/2</f>
        <v>10938</v>
      </c>
      <c r="G29">
        <f t="shared" ref="G29" si="9">+C29-(C$7+F29*C$8)</f>
        <v>-9.4066000172460917E-2</v>
      </c>
      <c r="I29">
        <f t="shared" ref="I29" si="10">+G29</f>
        <v>-9.4066000172460917E-2</v>
      </c>
      <c r="O29">
        <f t="shared" ref="O29" ca="1" si="11">+C$11+C$12*$F29</f>
        <v>-8.3633484123625063E-2</v>
      </c>
      <c r="Q29" s="2">
        <f t="shared" ref="Q29" si="12">+C29-15018.5</f>
        <v>44814.578499999829</v>
      </c>
      <c r="S29">
        <f t="shared" ref="S29" ca="1" si="13">(O29-G29)^2</f>
        <v>1.0883739110921767E-4</v>
      </c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selection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44</v>
      </c>
      <c r="C2" s="3"/>
      <c r="D2" s="3"/>
      <c r="E2" s="31" t="s">
        <v>42</v>
      </c>
      <c r="F2" t="s">
        <v>45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52756.21</v>
      </c>
      <c r="D7" s="30"/>
    </row>
    <row r="8" spans="1:7" x14ac:dyDescent="0.2">
      <c r="A8" t="s">
        <v>3</v>
      </c>
      <c r="C8" s="8">
        <v>0.6479170306671943</v>
      </c>
      <c r="D8" s="30"/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-9.9374007635434358E-2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7.2342084923304581E-6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60178.866433101852</v>
      </c>
    </row>
    <row r="15" spans="1:7" x14ac:dyDescent="0.2">
      <c r="A15" s="12" t="s">
        <v>17</v>
      </c>
      <c r="B15" s="10"/>
      <c r="C15" s="13">
        <f ca="1">(C7+C11)+(C8+C12)*INT(MAX(F21:F3533))</f>
        <v>59832.73944696461</v>
      </c>
      <c r="D15" s="14" t="s">
        <v>39</v>
      </c>
      <c r="E15" s="15">
        <f ca="1">ROUND(2*(E14-$C$7)/$C$8,0)/2+E13</f>
        <v>11457</v>
      </c>
    </row>
    <row r="16" spans="1:7" x14ac:dyDescent="0.2">
      <c r="A16" s="16" t="s">
        <v>4</v>
      </c>
      <c r="B16" s="10"/>
      <c r="C16" s="17">
        <f ca="1">+C8+C12</f>
        <v>0.64792426487568666</v>
      </c>
      <c r="D16" s="14" t="s">
        <v>40</v>
      </c>
      <c r="E16" s="24">
        <f ca="1">ROUND(2*(E14-$C$15)/$C$16,0)/2+E13</f>
        <v>535</v>
      </c>
    </row>
    <row r="17" spans="1:19" ht="13.5" thickBot="1" x14ac:dyDescent="0.25">
      <c r="A17" s="14" t="s">
        <v>30</v>
      </c>
      <c r="B17" s="10"/>
      <c r="C17" s="10">
        <f>COUNT(C21:C2191)</f>
        <v>9</v>
      </c>
      <c r="D17" s="14" t="s">
        <v>34</v>
      </c>
      <c r="E17" s="18">
        <f ca="1">+$C$15+$C$16*E16-15018.5-$C$9/24</f>
        <v>45161.27476200644</v>
      </c>
    </row>
    <row r="18" spans="1:19" ht="14.25" thickTop="1" thickBot="1" x14ac:dyDescent="0.25">
      <c r="A18" s="16" t="s">
        <v>5</v>
      </c>
      <c r="B18" s="10"/>
      <c r="C18" s="19">
        <f ca="1">+C15</f>
        <v>59832.73944696461</v>
      </c>
      <c r="D18" s="20">
        <f ca="1">+C16</f>
        <v>0.64792426487568666</v>
      </c>
      <c r="E18" s="21" t="s">
        <v>35</v>
      </c>
      <c r="F18">
        <v>14</v>
      </c>
    </row>
    <row r="19" spans="1:19" ht="13.5" thickTop="1" x14ac:dyDescent="0.2">
      <c r="A19" s="25" t="s">
        <v>36</v>
      </c>
      <c r="E19" s="26">
        <v>22</v>
      </c>
      <c r="F19">
        <v>3.5</v>
      </c>
      <c r="S19">
        <f ca="1">SQRT(SUM(S21:S28)/(COUNT(S21:S28)-1))</f>
        <v>4.480429973625015E-2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">
        <v>46</v>
      </c>
      <c r="C21" s="8">
        <f>C$7</f>
        <v>52756.21</v>
      </c>
      <c r="D21" s="8" t="s">
        <v>13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-9.9374007635434358E-2</v>
      </c>
      <c r="Q21" s="2">
        <f t="shared" ref="Q21:Q28" si="4">+C21-15018.5</f>
        <v>37737.71</v>
      </c>
      <c r="S21">
        <f t="shared" ref="S21:S28" ca="1" si="5">(O21-G21)^2</f>
        <v>9.8751933935273661E-3</v>
      </c>
    </row>
    <row r="22" spans="1:19" x14ac:dyDescent="0.2">
      <c r="A22" s="32" t="s">
        <v>47</v>
      </c>
      <c r="B22" s="33" t="s">
        <v>48</v>
      </c>
      <c r="C22" s="32">
        <v>53303.289499999999</v>
      </c>
      <c r="D22" s="32">
        <v>5.0000000000000001E-4</v>
      </c>
      <c r="E22">
        <f t="shared" si="0"/>
        <v>844.36659958859741</v>
      </c>
      <c r="F22">
        <f t="shared" si="1"/>
        <v>844.5</v>
      </c>
      <c r="G22">
        <f t="shared" si="2"/>
        <v>-8.6432398442411795E-2</v>
      </c>
      <c r="I22">
        <f t="shared" ref="I22:I28" si="6">+G22</f>
        <v>-8.6432398442411795E-2</v>
      </c>
      <c r="O22">
        <f t="shared" ca="1" si="3"/>
        <v>-9.3264718563661281E-2</v>
      </c>
      <c r="Q22" s="2">
        <f t="shared" si="4"/>
        <v>38284.789499999999</v>
      </c>
      <c r="S22">
        <f t="shared" ca="1" si="5"/>
        <v>4.6680598239230588E-5</v>
      </c>
    </row>
    <row r="23" spans="1:19" x14ac:dyDescent="0.2">
      <c r="A23" s="32" t="s">
        <v>47</v>
      </c>
      <c r="B23" s="33" t="s">
        <v>48</v>
      </c>
      <c r="C23" s="32">
        <v>53334.376600000003</v>
      </c>
      <c r="D23" s="32">
        <v>6.9999999999999999E-4</v>
      </c>
      <c r="E23">
        <f t="shared" si="0"/>
        <v>892.34666266548902</v>
      </c>
      <c r="F23">
        <f t="shared" si="1"/>
        <v>892.5</v>
      </c>
      <c r="G23">
        <f t="shared" si="2"/>
        <v>-9.9349870470177848E-2</v>
      </c>
      <c r="I23">
        <f t="shared" si="6"/>
        <v>-9.9349870470177848E-2</v>
      </c>
      <c r="O23">
        <f t="shared" ca="1" si="3"/>
        <v>-9.291747655602943E-2</v>
      </c>
      <c r="Q23" s="2">
        <f t="shared" si="4"/>
        <v>38315.876600000003</v>
      </c>
      <c r="S23">
        <f t="shared" ca="1" si="5"/>
        <v>4.1375691466773606E-5</v>
      </c>
    </row>
    <row r="24" spans="1:19" x14ac:dyDescent="0.2">
      <c r="A24" s="32" t="s">
        <v>47</v>
      </c>
      <c r="B24" s="33" t="s">
        <v>48</v>
      </c>
      <c r="C24" s="32">
        <v>53334.393700000001</v>
      </c>
      <c r="D24" s="32">
        <v>6.6E-3</v>
      </c>
      <c r="E24">
        <f t="shared" si="0"/>
        <v>892.37305493361578</v>
      </c>
      <c r="F24">
        <f t="shared" si="1"/>
        <v>892.5</v>
      </c>
      <c r="G24">
        <f t="shared" si="2"/>
        <v>-8.2249870472878683E-2</v>
      </c>
      <c r="I24">
        <f t="shared" si="6"/>
        <v>-8.2249870472878683E-2</v>
      </c>
      <c r="O24">
        <f t="shared" ca="1" si="3"/>
        <v>-9.291747655602943E-2</v>
      </c>
      <c r="Q24" s="2">
        <f t="shared" si="4"/>
        <v>38315.893700000001</v>
      </c>
      <c r="S24">
        <f t="shared" ca="1" si="5"/>
        <v>1.1379781954527481E-4</v>
      </c>
    </row>
    <row r="25" spans="1:19" x14ac:dyDescent="0.2">
      <c r="A25" s="32" t="s">
        <v>47</v>
      </c>
      <c r="B25" s="33" t="s">
        <v>48</v>
      </c>
      <c r="C25" s="32">
        <v>53335.35</v>
      </c>
      <c r="D25" s="32">
        <v>8.9999999999999998E-4</v>
      </c>
      <c r="E25">
        <f t="shared" si="0"/>
        <v>893.84901551920689</v>
      </c>
      <c r="F25">
        <f t="shared" si="1"/>
        <v>894</v>
      </c>
      <c r="G25">
        <f t="shared" si="2"/>
        <v>-9.7825416472915094E-2</v>
      </c>
      <c r="I25">
        <f t="shared" si="6"/>
        <v>-9.7825416472915094E-2</v>
      </c>
      <c r="O25">
        <f t="shared" ca="1" si="3"/>
        <v>-9.2906625243290936E-2</v>
      </c>
      <c r="Q25" s="2">
        <f t="shared" si="4"/>
        <v>38316.85</v>
      </c>
      <c r="S25">
        <f t="shared" ca="1" si="5"/>
        <v>2.4194507160627543E-5</v>
      </c>
    </row>
    <row r="26" spans="1:19" x14ac:dyDescent="0.2">
      <c r="A26" s="32" t="s">
        <v>47</v>
      </c>
      <c r="B26" s="33" t="s">
        <v>48</v>
      </c>
      <c r="C26" s="32">
        <v>53349.3243</v>
      </c>
      <c r="D26" s="32">
        <v>1.6000000000000001E-3</v>
      </c>
      <c r="E26">
        <f t="shared" si="0"/>
        <v>915.41705484919885</v>
      </c>
      <c r="F26">
        <f t="shared" si="1"/>
        <v>915.5</v>
      </c>
      <c r="G26">
        <f t="shared" si="2"/>
        <v>-5.374157581536565E-2</v>
      </c>
      <c r="I26">
        <f t="shared" si="6"/>
        <v>-5.374157581536565E-2</v>
      </c>
      <c r="O26">
        <f t="shared" ca="1" si="3"/>
        <v>-9.2751089760705827E-2</v>
      </c>
      <c r="Q26" s="2">
        <f t="shared" si="4"/>
        <v>38330.8243</v>
      </c>
      <c r="S26">
        <f t="shared" ca="1" si="5"/>
        <v>1.5217421782516896E-3</v>
      </c>
    </row>
    <row r="27" spans="1:19" x14ac:dyDescent="0.2">
      <c r="A27" s="32" t="s">
        <v>47</v>
      </c>
      <c r="B27" s="33" t="s">
        <v>48</v>
      </c>
      <c r="C27" s="32">
        <v>53360.287400000001</v>
      </c>
      <c r="D27" s="32">
        <v>5.9999999999999995E-4</v>
      </c>
      <c r="E27">
        <f t="shared" si="0"/>
        <v>932.33758553614746</v>
      </c>
      <c r="F27">
        <f t="shared" si="1"/>
        <v>932.5</v>
      </c>
      <c r="G27">
        <f t="shared" si="2"/>
        <v>-0.10523109715722967</v>
      </c>
      <c r="I27">
        <f t="shared" si="6"/>
        <v>-0.10523109715722967</v>
      </c>
      <c r="O27">
        <f t="shared" ca="1" si="3"/>
        <v>-9.26281082163362E-2</v>
      </c>
      <c r="Q27" s="2">
        <f t="shared" si="4"/>
        <v>38341.787400000001</v>
      </c>
      <c r="S27">
        <f t="shared" ca="1" si="5"/>
        <v>1.5883533024428311E-4</v>
      </c>
    </row>
    <row r="28" spans="1:19" x14ac:dyDescent="0.2">
      <c r="A28" s="32" t="s">
        <v>49</v>
      </c>
      <c r="B28" s="33" t="s">
        <v>48</v>
      </c>
      <c r="C28" s="32">
        <v>55393.438699999999</v>
      </c>
      <c r="D28" s="32">
        <v>2.9999999999999997E-4</v>
      </c>
      <c r="E28">
        <f t="shared" si="0"/>
        <v>4070.3185364402389</v>
      </c>
      <c r="F28">
        <f t="shared" si="1"/>
        <v>4070.5</v>
      </c>
      <c r="G28">
        <f t="shared" si="2"/>
        <v>-0.11757333081186516</v>
      </c>
      <c r="I28">
        <f t="shared" si="6"/>
        <v>-0.11757333081186516</v>
      </c>
      <c r="O28">
        <f t="shared" ca="1" si="3"/>
        <v>-6.9927161967403229E-2</v>
      </c>
      <c r="Q28" s="2">
        <f t="shared" si="4"/>
        <v>40374.938699999999</v>
      </c>
      <c r="S28">
        <f t="shared" ca="1" si="5"/>
        <v>2.2701574055549751E-3</v>
      </c>
    </row>
    <row r="29" spans="1:19" x14ac:dyDescent="0.2">
      <c r="A29" s="36" t="s">
        <v>50</v>
      </c>
      <c r="B29" s="37" t="s">
        <v>48</v>
      </c>
      <c r="C29" s="38">
        <v>59833.078499999829</v>
      </c>
      <c r="D29" s="8"/>
      <c r="E29">
        <f t="shared" ref="E29" si="7">+(C29-C$7)/C$8</f>
        <v>10922.491870158754</v>
      </c>
      <c r="F29">
        <f t="shared" ref="F29" si="8">ROUND(2*E29,0)/2</f>
        <v>10922.5</v>
      </c>
      <c r="G29">
        <f t="shared" ref="G29" si="9">+C29-(C$7+F29*C$8)</f>
        <v>-5.2674625985673629E-3</v>
      </c>
      <c r="I29">
        <f t="shared" ref="I29" si="10">+G29</f>
        <v>-5.2674625985673629E-3</v>
      </c>
      <c r="O29">
        <f t="shared" ref="O29" ca="1" si="11">+C$11+C$12*$F29</f>
        <v>-2.0358365377954935E-2</v>
      </c>
      <c r="Q29" s="2">
        <f t="shared" ref="Q29" si="12">+C29-15018.5</f>
        <v>44814.578499999829</v>
      </c>
      <c r="S29">
        <f t="shared" ref="S29" ca="1" si="13">(O29-G29)^2</f>
        <v>2.2773534669692753E-4</v>
      </c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3</vt:lpstr>
      <vt:lpstr>Active 2</vt:lpstr>
      <vt:lpstr>Active 4</vt:lpstr>
      <vt:lpstr>Active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2023-08-22T08:47:40Z</dcterms:modified>
</cp:coreProperties>
</file>