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262707-F227-4032-8CFC-D6CC36B49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H17" i="2" l="1"/>
  <c r="B17" i="2"/>
  <c r="G17" i="2"/>
  <c r="C17" i="2"/>
  <c r="E17" i="2"/>
  <c r="D17" i="2"/>
  <c r="A17" i="2"/>
  <c r="H16" i="2"/>
  <c r="G16" i="2"/>
  <c r="D16" i="2"/>
  <c r="C16" i="2"/>
  <c r="E16" i="2"/>
  <c r="B16" i="2"/>
  <c r="A16" i="2"/>
  <c r="H15" i="2"/>
  <c r="G15" i="2"/>
  <c r="D15" i="2"/>
  <c r="C15" i="2"/>
  <c r="E15" i="2"/>
  <c r="B15" i="2"/>
  <c r="A15" i="2"/>
  <c r="H14" i="2"/>
  <c r="B14" i="2"/>
  <c r="G14" i="2"/>
  <c r="C14" i="2"/>
  <c r="E14" i="2"/>
  <c r="D14" i="2"/>
  <c r="A14" i="2"/>
  <c r="H13" i="2"/>
  <c r="B13" i="2"/>
  <c r="G13" i="2"/>
  <c r="C13" i="2"/>
  <c r="E13" i="2"/>
  <c r="D13" i="2"/>
  <c r="A13" i="2"/>
  <c r="H12" i="2"/>
  <c r="G12" i="2"/>
  <c r="D12" i="2"/>
  <c r="C12" i="2"/>
  <c r="E12" i="2"/>
  <c r="B12" i="2"/>
  <c r="A12" i="2"/>
  <c r="H11" i="2"/>
  <c r="G11" i="2"/>
  <c r="D11" i="2"/>
  <c r="C11" i="2"/>
  <c r="E11" i="2"/>
  <c r="B11" i="2"/>
  <c r="A11" i="2"/>
  <c r="E22" i="1"/>
  <c r="F22" i="1"/>
  <c r="G22" i="1"/>
  <c r="E24" i="1"/>
  <c r="F24" i="1"/>
  <c r="G24" i="1"/>
  <c r="H24" i="1"/>
  <c r="R24" i="1"/>
  <c r="E27" i="1"/>
  <c r="F27" i="1"/>
  <c r="G27" i="1"/>
  <c r="E21" i="1"/>
  <c r="F21" i="1"/>
  <c r="E23" i="1"/>
  <c r="F23" i="1"/>
  <c r="G23" i="1"/>
  <c r="E25" i="1"/>
  <c r="F25" i="1"/>
  <c r="G25" i="1"/>
  <c r="E26" i="1"/>
  <c r="F26" i="1"/>
  <c r="G26" i="1"/>
  <c r="C14" i="1"/>
  <c r="C13" i="1"/>
  <c r="G21" i="1"/>
  <c r="S21" i="1"/>
  <c r="D14" i="1"/>
  <c r="D13" i="1"/>
  <c r="Q27" i="1"/>
  <c r="H21" i="1"/>
  <c r="Q21" i="1"/>
  <c r="Q22" i="1"/>
  <c r="Q23" i="1"/>
  <c r="Q24" i="1"/>
  <c r="Q25" i="1"/>
  <c r="F12" i="1"/>
  <c r="C17" i="1"/>
  <c r="Q26" i="1"/>
  <c r="H25" i="1"/>
  <c r="T25" i="1"/>
  <c r="H23" i="1"/>
  <c r="S23" i="1"/>
  <c r="S19" i="1"/>
  <c r="E19" i="1"/>
  <c r="R22" i="1"/>
  <c r="H22" i="1"/>
  <c r="H27" i="1"/>
  <c r="R27" i="1"/>
  <c r="S26" i="1"/>
  <c r="H26" i="1"/>
  <c r="R19" i="1"/>
  <c r="E18" i="1"/>
  <c r="D11" i="1"/>
  <c r="D12" i="1"/>
  <c r="C12" i="1"/>
  <c r="C16" i="1" l="1"/>
  <c r="D18" i="1" s="1"/>
  <c r="D16" i="1"/>
  <c r="D19" i="1" s="1"/>
  <c r="D15" i="1"/>
  <c r="C19" i="1" s="1"/>
  <c r="P26" i="1"/>
  <c r="P24" i="1"/>
  <c r="P22" i="1"/>
  <c r="P21" i="1"/>
  <c r="P23" i="1"/>
  <c r="P27" i="1"/>
  <c r="P25" i="1"/>
  <c r="F13" i="1"/>
  <c r="C11" i="1"/>
  <c r="O25" i="1" l="1"/>
  <c r="O24" i="1"/>
  <c r="O22" i="1"/>
  <c r="O23" i="1"/>
  <c r="O27" i="1"/>
  <c r="O21" i="1"/>
  <c r="O26" i="1"/>
  <c r="C15" i="1"/>
  <c r="C18" i="1" l="1"/>
  <c r="F14" i="1"/>
  <c r="F15" i="1" s="1"/>
</calcChain>
</file>

<file path=xl/sharedStrings.xml><?xml version="1.0" encoding="utf-8"?>
<sst xmlns="http://schemas.openxmlformats.org/spreadsheetml/2006/main" count="134" uniqueCount="89">
  <si>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</si>
  <si>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</si>
  <si>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</si>
  <si>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</si>
  <si>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</si>
  <si>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</si>
  <si>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</si>
  <si>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</si>
  <si>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</si>
  <si>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</si>
  <si>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</si>
  <si>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</si>
  <si>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</si>
  <si>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</si>
  <si>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</si>
  <si>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</si>
  <si>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</si>
  <si>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</si>
  <si>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</si>
  <si>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</si>
  <si>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</si>
  <si>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</si>
  <si>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</si>
  <si>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</si>
  <si>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</si>
  <si>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</si>
  <si>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</si>
  <si>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</si>
  <si>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</si>
  <si>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</si>
  <si>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</si>
  <si>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</si>
  <si>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</si>
  <si>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</si>
  <si>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</si>
  <si>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</si>
  <si>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</si>
  <si>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</si>
  <si>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OT And / GSC 3238-1651</t>
  </si>
  <si>
    <t>EA/D</t>
  </si>
  <si>
    <t>not avail.</t>
  </si>
  <si>
    <t>From Kreiner</t>
  </si>
  <si>
    <t>IBVS 5016</t>
  </si>
  <si>
    <t>IBVS 5484</t>
  </si>
  <si>
    <t>IBVS 2624 </t>
  </si>
  <si>
    <t>I</t>
  </si>
  <si>
    <t>vis</t>
  </si>
  <si>
    <t>II</t>
  </si>
  <si>
    <t>BAVM 131 </t>
  </si>
  <si>
    <t>pg</t>
  </si>
  <si>
    <t>PE</t>
  </si>
  <si>
    <t>CCD</t>
  </si>
  <si>
    <t>BAD?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</si>
  <si>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</si>
  <si>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</si>
  <si>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</si>
  <si>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</si>
  <si>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</si>
  <si>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</si>
  <si>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</si>
  <si>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2442271.0 </t>
  </si>
  <si>
    <t> 11.08.1974 12:00 </t>
  </si>
  <si>
    <t> -0.0 </t>
  </si>
  <si>
    <t>E </t>
  </si>
  <si>
    <t>?</t>
  </si>
  <si>
    <t> R.Crawford et al. </t>
  </si>
  <si>
    <t>2442281.86 </t>
  </si>
  <si>
    <t> 22.08.1974 08:38 </t>
  </si>
  <si>
    <t> 0.43 </t>
  </si>
  <si>
    <t>2445711.73 </t>
  </si>
  <si>
    <t> 12.01.1984 05:31 </t>
  </si>
  <si>
    <t> 0.00 </t>
  </si>
  <si>
    <t>2445722.585 </t>
  </si>
  <si>
    <t> 23.01.1984 02:02 </t>
  </si>
  <si>
    <t> 0.429 </t>
  </si>
  <si>
    <t>2451425.402 </t>
  </si>
  <si>
    <t> 03.09.1999 21:38 </t>
  </si>
  <si>
    <t> -0.023 </t>
  </si>
  <si>
    <t>V </t>
  </si>
  <si>
    <t> W.Braune </t>
  </si>
  <si>
    <t>2451425.4354 </t>
  </si>
  <si>
    <t> 03.09.1999 22:26 </t>
  </si>
  <si>
    <t> 0.0108 </t>
  </si>
  <si>
    <t> D.Husar </t>
  </si>
  <si>
    <t>BAVM 132 </t>
  </si>
  <si>
    <t>2451853.3856 </t>
  </si>
  <si>
    <t> 04.11.2000 21:15 </t>
  </si>
  <si>
    <t> 0.4766 </t>
  </si>
  <si>
    <t>BAVM 158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</si>
</sst>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And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58064516129032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0">
                  <c:v>-0.46920099999988452</c:v>
                </c:pt>
                <c:pt idx="1">
                  <c:v>-3.5653999999340158E-2</c:v>
                </c:pt>
                <c:pt idx="2">
                  <c:v>-0.46869099999457831</c:v>
                </c:pt>
                <c:pt idx="3">
                  <c:v>-4.014399999869056E-2</c:v>
                </c:pt>
                <c:pt idx="4">
                  <c:v>-0.49293500000203494</c:v>
                </c:pt>
                <c:pt idx="5">
                  <c:v>-0.45953500000177883</c:v>
                </c:pt>
                <c:pt idx="6">
                  <c:v>6.09200000326382E-3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A5-4702-97A2-54827A71492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A5-4702-97A2-54827A71492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A5-4702-97A2-54827A71492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A5-4702-97A2-54827A714920}"/>
            </c:ext>
          </c:extLst>
        </c:ser>
        <c:ser>
          <c:idx val="2"/>
          <c:order val="4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1'!$O$21:$O$919</c:f>
              <c:numCache>
                <c:formatCode>General</c:formatCode>
                <c:ptCount val="899"/>
                <c:pt idx="0">
                  <c:v>-4.3815178551731143E-2</c:v>
                </c:pt>
                <c:pt idx="1">
                  <c:v>-4.3765826404920244E-2</c:v>
                </c:pt>
                <c:pt idx="2">
                  <c:v>-2.7528970104136612E-2</c:v>
                </c:pt>
                <c:pt idx="3">
                  <c:v>-2.747961795732572E-2</c:v>
                </c:pt>
                <c:pt idx="4">
                  <c:v>-4.8399365176751783E-4</c:v>
                </c:pt>
                <c:pt idx="5">
                  <c:v>-4.8399365176751783E-4</c:v>
                </c:pt>
                <c:pt idx="6">
                  <c:v>1.5394443674790754E-3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A5-4702-97A2-54827A714920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1'!$P$21:$P$919</c:f>
              <c:numCache>
                <c:formatCode>General</c:formatCode>
                <c:ptCount val="899"/>
                <c:pt idx="0">
                  <c:v>-0.47047430842866644</c:v>
                </c:pt>
                <c:pt idx="1">
                  <c:v>-0.47046272239779741</c:v>
                </c:pt>
                <c:pt idx="2">
                  <c:v>-0.46665091824189492</c:v>
                </c:pt>
                <c:pt idx="3">
                  <c:v>-0.46663933221102588</c:v>
                </c:pt>
                <c:pt idx="4">
                  <c:v>-0.46030177332568034</c:v>
                </c:pt>
                <c:pt idx="5">
                  <c:v>-0.46030177332568034</c:v>
                </c:pt>
                <c:pt idx="6">
                  <c:v>-0.45982674606005114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A5-4702-97A2-54827A714920}"/>
            </c:ext>
          </c:extLst>
        </c:ser>
        <c:ser>
          <c:idx val="6"/>
          <c:order val="6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1'!$R$21:$R$919</c:f>
              <c:numCache>
                <c:formatCode>General</c:formatCode>
                <c:ptCount val="899"/>
                <c:pt idx="1">
                  <c:v>-3.5653999999340158E-2</c:v>
                </c:pt>
                <c:pt idx="3">
                  <c:v>-4.014399999869056E-2</c:v>
                </c:pt>
                <c:pt idx="6">
                  <c:v>6.09200000326382E-3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A5-4702-97A2-54827A714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43640"/>
        <c:axId val="1"/>
      </c:scatterChart>
      <c:valAx>
        <c:axId val="63564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4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6774193548388"/>
          <c:y val="0.92097264437689974"/>
          <c:w val="0.69193548387096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And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92315501067418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1'!$R$21:$R$919</c:f>
              <c:numCache>
                <c:formatCode>General</c:formatCode>
                <c:ptCount val="899"/>
                <c:pt idx="1">
                  <c:v>-3.5653999999340158E-2</c:v>
                </c:pt>
                <c:pt idx="3">
                  <c:v>-4.014399999869056E-2</c:v>
                </c:pt>
                <c:pt idx="6">
                  <c:v>6.09200000326382E-3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9-4A70-9B2C-DA43E79DCBE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1'!$O$21:$O$919</c:f>
              <c:numCache>
                <c:formatCode>General</c:formatCode>
                <c:ptCount val="899"/>
                <c:pt idx="0">
                  <c:v>-4.3815178551731143E-2</c:v>
                </c:pt>
                <c:pt idx="1">
                  <c:v>-4.3765826404920244E-2</c:v>
                </c:pt>
                <c:pt idx="2">
                  <c:v>-2.7528970104136612E-2</c:v>
                </c:pt>
                <c:pt idx="3">
                  <c:v>-2.747961795732572E-2</c:v>
                </c:pt>
                <c:pt idx="4">
                  <c:v>-4.8399365176751783E-4</c:v>
                </c:pt>
                <c:pt idx="5">
                  <c:v>-4.8399365176751783E-4</c:v>
                </c:pt>
                <c:pt idx="6">
                  <c:v>1.5394443674790754E-3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9-4A70-9B2C-DA43E79D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45800"/>
        <c:axId val="1"/>
      </c:scatterChart>
      <c:valAx>
        <c:axId val="6356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1459666813996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And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1'!$S$21:$S$919</c:f>
              <c:numCache>
                <c:formatCode>General</c:formatCode>
                <c:ptCount val="899"/>
                <c:pt idx="0">
                  <c:v>-0.46920099999988452</c:v>
                </c:pt>
                <c:pt idx="2">
                  <c:v>-0.46869099999457831</c:v>
                </c:pt>
                <c:pt idx="5">
                  <c:v>-0.45953500000177883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F3-4EEA-88A2-3FD567FDDC3B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1'!$P$21:$P$919</c:f>
              <c:numCache>
                <c:formatCode>General</c:formatCode>
                <c:ptCount val="899"/>
                <c:pt idx="0">
                  <c:v>-0.47047430842866644</c:v>
                </c:pt>
                <c:pt idx="1">
                  <c:v>-0.47046272239779741</c:v>
                </c:pt>
                <c:pt idx="2">
                  <c:v>-0.46665091824189492</c:v>
                </c:pt>
                <c:pt idx="3">
                  <c:v>-0.46663933221102588</c:v>
                </c:pt>
                <c:pt idx="4">
                  <c:v>-0.46030177332568034</c:v>
                </c:pt>
                <c:pt idx="5">
                  <c:v>-0.46030177332568034</c:v>
                </c:pt>
                <c:pt idx="6">
                  <c:v>-0.45982674606005114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F3-4EEA-88A2-3FD567FDDC3B}"/>
            </c:ext>
          </c:extLst>
        </c:ser>
        <c:ser>
          <c:idx val="0"/>
          <c:order val="2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'Active 1'!$T$21:$T$919</c:f>
              <c:numCache>
                <c:formatCode>General</c:formatCode>
                <c:ptCount val="899"/>
                <c:pt idx="4">
                  <c:v>-0.49293500000203494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F3-4EEA-88A2-3FD567FD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42560"/>
        <c:axId val="1"/>
      </c:scatterChart>
      <c:valAx>
        <c:axId val="63564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943060688842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4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469430606888423"/>
          <c:y val="0.92097264437689974"/>
          <c:w val="0.4591841019872516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19</xdr:col>
      <xdr:colOff>590549</xdr:colOff>
      <xdr:row>18</xdr:row>
      <xdr:rowOff>123825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4929826-C9F6-C835-34F9-5DCCEFC8A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11</xdr:col>
      <xdr:colOff>333375</xdr:colOff>
      <xdr:row>20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06A2DD-6215-F300-6699-C12985094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21</xdr:row>
      <xdr:rowOff>9525</xdr:rowOff>
    </xdr:from>
    <xdr:to>
      <xdr:col>11</xdr:col>
      <xdr:colOff>390525</xdr:colOff>
      <xdr:row>40</xdr:row>
      <xdr:rowOff>123825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9E633E6-FE11-3053-CE40-747FBF934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3" Type="http://schemas.openxmlformats.org/officeDocument/2006/relationships/hyperlink" Target="http://www.konkoly.hu/cgi-bin/IBVS?2624" TargetMode="External"/><Relationship Id="rId7" Type="http://schemas.openxmlformats.org/officeDocument/2006/relationships/hyperlink" Target="http://www.bav-astro.de/sfs/BAVM_link.php?BAVMnr=132" TargetMode="External"/><Relationship Id="rId2" Type="http://schemas.openxmlformats.org/officeDocument/2006/relationships/hyperlink" Target="http://www.konkoly.hu/cgi-bin/IBVS?262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konkoly.hu/cgi-bin/IBVS?2624" TargetMode="External"/><Relationship Id="rId4" Type="http://schemas.openxmlformats.org/officeDocument/2006/relationships/hyperlink" Target="http://www.konkoly.hu/cgi-bin/IBVS?262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5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16</v>
      </c>
      <c r="B2" t="s">
        <v>39</v>
      </c>
      <c r="C2" s="10"/>
      <c r="D2" s="10"/>
    </row>
    <row r="3" spans="1:6" ht="13.5" thickBot="1" x14ac:dyDescent="0.25"/>
    <row r="4" spans="1:6" ht="14.25" thickTop="1" thickBot="1" x14ac:dyDescent="0.25">
      <c r="A4" s="6" t="s">
        <v>0</v>
      </c>
      <c r="C4" s="32" t="s">
        <v>40</v>
      </c>
      <c r="D4" s="33" t="s">
        <v>40</v>
      </c>
    </row>
    <row r="5" spans="1:6" ht="13.5" thickTop="1" x14ac:dyDescent="0.2">
      <c r="A5" s="25" t="s">
        <v>30</v>
      </c>
      <c r="B5" s="19"/>
      <c r="C5" s="26">
        <v>-9.5</v>
      </c>
      <c r="D5" s="19" t="s">
        <v>31</v>
      </c>
    </row>
    <row r="6" spans="1:6" x14ac:dyDescent="0.2">
      <c r="A6" s="6" t="s">
        <v>1</v>
      </c>
    </row>
    <row r="7" spans="1:6" x14ac:dyDescent="0.2">
      <c r="A7" t="s">
        <v>2</v>
      </c>
      <c r="C7">
        <v>52520.672500000001</v>
      </c>
    </row>
    <row r="8" spans="1:6" x14ac:dyDescent="0.2">
      <c r="A8" t="s">
        <v>3</v>
      </c>
      <c r="C8">
        <v>20.852906000000001</v>
      </c>
      <c r="D8" s="34" t="s">
        <v>41</v>
      </c>
    </row>
    <row r="9" spans="1:6" x14ac:dyDescent="0.2">
      <c r="A9" s="17" t="s">
        <v>27</v>
      </c>
      <c r="B9" s="17"/>
      <c r="C9" s="18">
        <v>21</v>
      </c>
      <c r="D9" s="18">
        <v>21</v>
      </c>
    </row>
    <row r="10" spans="1:6" ht="13.5" thickBot="1" x14ac:dyDescent="0.25">
      <c r="A10" s="19"/>
      <c r="B10" s="19"/>
      <c r="C10" s="5" t="s">
        <v>18</v>
      </c>
      <c r="D10" s="5" t="s">
        <v>19</v>
      </c>
    </row>
    <row r="11" spans="1:6" x14ac:dyDescent="0.2">
      <c r="A11" s="19" t="s">
        <v>13</v>
      </c>
      <c r="B11" s="19"/>
      <c r="C11" s="20">
        <f ca="1">INTERCEPT(INDIRECT(C14):R$933,INDIRECT(C13):$F$933)</f>
        <v>4.697981763376196E-3</v>
      </c>
      <c r="D11" s="20">
        <f ca="1">INTERCEPT(INDIRECT(D14):S$933,INDIRECT(D13):$F$933)</f>
        <v>-0.45908524008443485</v>
      </c>
      <c r="E11" s="17" t="s">
        <v>33</v>
      </c>
      <c r="F11">
        <v>1</v>
      </c>
    </row>
    <row r="12" spans="1:6" x14ac:dyDescent="0.2">
      <c r="A12" s="19" t="s">
        <v>14</v>
      </c>
      <c r="B12" s="19"/>
      <c r="C12" s="20">
        <f ca="1">SLOPE(INDIRECT(C14):R$933,INDIRECT(C13):$F$933)</f>
        <v>9.8704293621785017E-5</v>
      </c>
      <c r="D12" s="20">
        <f ca="1">SLOPE(INDIRECT(D14):S$933,INDIRECT(D13):$F$933)</f>
        <v>2.3172061738009305E-5</v>
      </c>
      <c r="E12" s="17" t="s">
        <v>34</v>
      </c>
      <c r="F12" s="27">
        <f ca="1">NOW()+15018.5+$C$5/24</f>
        <v>60319.51386608796</v>
      </c>
    </row>
    <row r="13" spans="1:6" x14ac:dyDescent="0.2">
      <c r="A13" s="17" t="s">
        <v>28</v>
      </c>
      <c r="B13" s="17"/>
      <c r="C13" s="18" t="str">
        <f>"F"&amp;C9</f>
        <v>F21</v>
      </c>
      <c r="D13" s="18" t="str">
        <f>"F"&amp;D9</f>
        <v>F21</v>
      </c>
      <c r="E13" s="17" t="s">
        <v>35</v>
      </c>
      <c r="F13" s="27">
        <f ca="1">ROUND(2*(F12-$C$7)/$C$8,0)/2+F11</f>
        <v>375</v>
      </c>
    </row>
    <row r="14" spans="1:6" x14ac:dyDescent="0.2">
      <c r="A14" s="17" t="s">
        <v>29</v>
      </c>
      <c r="B14" s="17"/>
      <c r="C14" s="18" t="str">
        <f>"R"&amp;C9</f>
        <v>R21</v>
      </c>
      <c r="D14" s="18" t="str">
        <f>"S"&amp;D9</f>
        <v>S21</v>
      </c>
      <c r="E14" s="17" t="s">
        <v>36</v>
      </c>
      <c r="F14" s="28">
        <f ca="1">ROUND(2*(F12-$C$15)/$C$16,0)/2+F11</f>
        <v>407</v>
      </c>
    </row>
    <row r="15" spans="1:6" x14ac:dyDescent="0.2">
      <c r="A15" s="21" t="s">
        <v>15</v>
      </c>
      <c r="B15" s="19"/>
      <c r="C15" s="22">
        <f ca="1">($C7+C11)+($C8+C12)*INT(MAX($F21:$F3531))</f>
        <v>51853.381047444367</v>
      </c>
      <c r="D15" s="22">
        <f ca="1">($C7+D11)+($C8+D12)*INT(MAX($F21:$F3531))</f>
        <v>51852.919681253938</v>
      </c>
      <c r="E15" s="17" t="s">
        <v>37</v>
      </c>
      <c r="F15" s="29">
        <f ca="1">+$C$15+$C$16*F14-15018.5-$C$5/24</f>
        <v>45322.449795425207</v>
      </c>
    </row>
    <row r="16" spans="1:6" x14ac:dyDescent="0.2">
      <c r="A16" s="23" t="s">
        <v>4</v>
      </c>
      <c r="B16" s="19"/>
      <c r="C16" s="24">
        <f ca="1">+$C8+C12</f>
        <v>20.853004704293621</v>
      </c>
      <c r="D16" s="20">
        <f ca="1">+$C8+D12</f>
        <v>20.852929172061739</v>
      </c>
      <c r="E16" s="30"/>
      <c r="F16" s="30" t="s">
        <v>32</v>
      </c>
    </row>
    <row r="17" spans="1:20" ht="13.5" thickBot="1" x14ac:dyDescent="0.25">
      <c r="A17" s="16" t="s">
        <v>26</v>
      </c>
      <c r="C17">
        <f>COUNT(C21:C1245)</f>
        <v>7</v>
      </c>
    </row>
    <row r="18" spans="1:20" ht="14.25" thickTop="1" thickBot="1" x14ac:dyDescent="0.25">
      <c r="A18" s="6" t="s">
        <v>21</v>
      </c>
      <c r="C18" s="3">
        <f ca="1">+C15</f>
        <v>51853.381047444367</v>
      </c>
      <c r="D18" s="4">
        <f ca="1">+C16</f>
        <v>20.853004704293621</v>
      </c>
      <c r="E18" s="31">
        <f>R19</f>
        <v>3</v>
      </c>
    </row>
    <row r="19" spans="1:20" ht="14.25" thickTop="1" thickBot="1" x14ac:dyDescent="0.25">
      <c r="A19" s="6" t="s">
        <v>22</v>
      </c>
      <c r="C19" s="3">
        <f ca="1">+D15</f>
        <v>51852.919681253938</v>
      </c>
      <c r="D19" s="4">
        <f ca="1">+D16</f>
        <v>20.852929172061739</v>
      </c>
      <c r="E19" s="31">
        <f>S19</f>
        <v>3</v>
      </c>
      <c r="R19">
        <f>COUNT(R21:R320)</f>
        <v>3</v>
      </c>
      <c r="S19">
        <f>COUNT(S21:S320)</f>
        <v>3</v>
      </c>
    </row>
    <row r="20" spans="1:20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49</v>
      </c>
      <c r="I20" s="8" t="s">
        <v>46</v>
      </c>
      <c r="J20" s="8" t="s">
        <v>50</v>
      </c>
      <c r="K20" s="8" t="s">
        <v>51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7" t="s">
        <v>18</v>
      </c>
      <c r="S20" s="7" t="s">
        <v>19</v>
      </c>
      <c r="T20" s="38" t="s">
        <v>52</v>
      </c>
    </row>
    <row r="21" spans="1:20" x14ac:dyDescent="0.2">
      <c r="A21" t="s">
        <v>44</v>
      </c>
      <c r="B21" t="s">
        <v>45</v>
      </c>
      <c r="C21" s="12">
        <v>42271</v>
      </c>
      <c r="D21" s="12" t="s">
        <v>46</v>
      </c>
      <c r="E21">
        <f t="shared" ref="E21:E27" si="0">+(C21-C$7)/C$8</f>
        <v>-491.52250050904178</v>
      </c>
      <c r="F21">
        <f t="shared" ref="F21:F27" si="1">ROUND(2*E21,0)/2</f>
        <v>-491.5</v>
      </c>
      <c r="G21">
        <f t="shared" ref="G21:G27" si="2">+C21-(C$7+F21*C$8)</f>
        <v>-0.46920099999988452</v>
      </c>
      <c r="H21">
        <f t="shared" ref="H21:H27" si="3">+G21</f>
        <v>-0.46920099999988452</v>
      </c>
      <c r="O21">
        <f t="shared" ref="O21:P27" ca="1" si="4">+C$11+C$12*$F21</f>
        <v>-4.3815178551731143E-2</v>
      </c>
      <c r="P21">
        <f t="shared" ca="1" si="4"/>
        <v>-0.47047430842866644</v>
      </c>
      <c r="Q21" s="2">
        <f t="shared" ref="Q21:Q27" si="5">+C21-15018.5</f>
        <v>27252.5</v>
      </c>
      <c r="S21">
        <f>G21</f>
        <v>-0.46920099999988452</v>
      </c>
    </row>
    <row r="22" spans="1:20" x14ac:dyDescent="0.2">
      <c r="A22" t="s">
        <v>44</v>
      </c>
      <c r="B22" t="s">
        <v>47</v>
      </c>
      <c r="C22" s="12">
        <v>42281.86</v>
      </c>
      <c r="D22" s="12" t="s">
        <v>46</v>
      </c>
      <c r="E22">
        <f t="shared" si="0"/>
        <v>-491.00170978567684</v>
      </c>
      <c r="F22">
        <f t="shared" si="1"/>
        <v>-491</v>
      </c>
      <c r="G22">
        <f t="shared" si="2"/>
        <v>-3.5653999999340158E-2</v>
      </c>
      <c r="H22">
        <f t="shared" si="3"/>
        <v>-3.5653999999340158E-2</v>
      </c>
      <c r="O22">
        <f t="shared" ca="1" si="4"/>
        <v>-4.3765826404920244E-2</v>
      </c>
      <c r="P22">
        <f t="shared" ca="1" si="4"/>
        <v>-0.47046272239779741</v>
      </c>
      <c r="Q22" s="2">
        <f t="shared" si="5"/>
        <v>27263.360000000001</v>
      </c>
      <c r="R22">
        <f>G22</f>
        <v>-3.5653999999340158E-2</v>
      </c>
    </row>
    <row r="23" spans="1:20" x14ac:dyDescent="0.2">
      <c r="A23" t="s">
        <v>44</v>
      </c>
      <c r="B23" t="s">
        <v>45</v>
      </c>
      <c r="C23" s="12">
        <v>45711.73</v>
      </c>
      <c r="D23" s="12" t="s">
        <v>46</v>
      </c>
      <c r="E23">
        <f t="shared" si="0"/>
        <v>-326.5224760520187</v>
      </c>
      <c r="F23">
        <f t="shared" si="1"/>
        <v>-326.5</v>
      </c>
      <c r="G23">
        <f t="shared" si="2"/>
        <v>-0.46869099999457831</v>
      </c>
      <c r="H23">
        <f t="shared" si="3"/>
        <v>-0.46869099999457831</v>
      </c>
      <c r="O23">
        <f t="shared" ca="1" si="4"/>
        <v>-2.7528970104136612E-2</v>
      </c>
      <c r="P23">
        <f t="shared" ca="1" si="4"/>
        <v>-0.46665091824189492</v>
      </c>
      <c r="Q23" s="2">
        <f t="shared" si="5"/>
        <v>30693.230000000003</v>
      </c>
      <c r="S23">
        <f>G23</f>
        <v>-0.46869099999457831</v>
      </c>
    </row>
    <row r="24" spans="1:20" x14ac:dyDescent="0.2">
      <c r="A24" t="s">
        <v>44</v>
      </c>
      <c r="B24" t="s">
        <v>47</v>
      </c>
      <c r="C24" s="12">
        <v>45722.584999999999</v>
      </c>
      <c r="D24" s="12" t="s">
        <v>46</v>
      </c>
      <c r="E24">
        <f t="shared" si="0"/>
        <v>-326.00192510338854</v>
      </c>
      <c r="F24">
        <f t="shared" si="1"/>
        <v>-326</v>
      </c>
      <c r="G24">
        <f t="shared" si="2"/>
        <v>-4.014399999869056E-2</v>
      </c>
      <c r="H24">
        <f t="shared" si="3"/>
        <v>-4.014399999869056E-2</v>
      </c>
      <c r="O24">
        <f t="shared" ca="1" si="4"/>
        <v>-2.747961795732572E-2</v>
      </c>
      <c r="P24">
        <f t="shared" ca="1" si="4"/>
        <v>-0.46663933221102588</v>
      </c>
      <c r="Q24" s="2">
        <f t="shared" si="5"/>
        <v>30704.084999999999</v>
      </c>
      <c r="R24">
        <f>G24</f>
        <v>-4.014399999869056E-2</v>
      </c>
    </row>
    <row r="25" spans="1:20" x14ac:dyDescent="0.2">
      <c r="A25" t="s">
        <v>48</v>
      </c>
      <c r="B25" t="s">
        <v>45</v>
      </c>
      <c r="C25" s="12">
        <v>51425.402000000002</v>
      </c>
      <c r="D25" s="12" t="s">
        <v>46</v>
      </c>
      <c r="E25">
        <f t="shared" si="0"/>
        <v>-52.523638671751492</v>
      </c>
      <c r="F25">
        <f t="shared" si="1"/>
        <v>-52.5</v>
      </c>
      <c r="G25">
        <f t="shared" si="2"/>
        <v>-0.49293500000203494</v>
      </c>
      <c r="H25">
        <f t="shared" si="3"/>
        <v>-0.49293500000203494</v>
      </c>
      <c r="O25">
        <f t="shared" ca="1" si="4"/>
        <v>-4.8399365176751783E-4</v>
      </c>
      <c r="P25">
        <f t="shared" ca="1" si="4"/>
        <v>-0.46030177332568034</v>
      </c>
      <c r="Q25" s="2">
        <f t="shared" si="5"/>
        <v>36406.902000000002</v>
      </c>
      <c r="T25">
        <f>G25</f>
        <v>-0.49293500000203494</v>
      </c>
    </row>
    <row r="26" spans="1:20" x14ac:dyDescent="0.2">
      <c r="A26" s="35" t="s">
        <v>42</v>
      </c>
      <c r="B26" s="36"/>
      <c r="C26" s="37">
        <v>51425.435400000002</v>
      </c>
      <c r="D26" s="37">
        <v>2E-3</v>
      </c>
      <c r="E26">
        <f t="shared" si="0"/>
        <v>-52.522036976524923</v>
      </c>
      <c r="F26">
        <f t="shared" si="1"/>
        <v>-52.5</v>
      </c>
      <c r="G26">
        <f t="shared" si="2"/>
        <v>-0.45953500000177883</v>
      </c>
      <c r="H26">
        <f t="shared" si="3"/>
        <v>-0.45953500000177883</v>
      </c>
      <c r="O26">
        <f t="shared" ca="1" si="4"/>
        <v>-4.8399365176751783E-4</v>
      </c>
      <c r="P26">
        <f t="shared" ca="1" si="4"/>
        <v>-0.46030177332568034</v>
      </c>
      <c r="Q26" s="2">
        <f t="shared" si="5"/>
        <v>36406.935400000002</v>
      </c>
      <c r="S26">
        <f>G26</f>
        <v>-0.45953500000177883</v>
      </c>
    </row>
    <row r="27" spans="1:20" x14ac:dyDescent="0.2">
      <c r="A27" s="35" t="s">
        <v>43</v>
      </c>
      <c r="B27" s="36"/>
      <c r="C27" s="37">
        <v>51853.385600000001</v>
      </c>
      <c r="D27" s="37">
        <v>7.0000000000000001E-3</v>
      </c>
      <c r="E27">
        <f t="shared" si="0"/>
        <v>-31.999707858463427</v>
      </c>
      <c r="F27">
        <f t="shared" si="1"/>
        <v>-32</v>
      </c>
      <c r="G27">
        <f t="shared" si="2"/>
        <v>6.09200000326382E-3</v>
      </c>
      <c r="H27">
        <f t="shared" si="3"/>
        <v>6.09200000326382E-3</v>
      </c>
      <c r="O27">
        <f t="shared" ca="1" si="4"/>
        <v>1.5394443674790754E-3</v>
      </c>
      <c r="P27">
        <f t="shared" ca="1" si="4"/>
        <v>-0.45982674606005114</v>
      </c>
      <c r="Q27" s="2">
        <f t="shared" si="5"/>
        <v>36834.885600000001</v>
      </c>
      <c r="R27">
        <f>G27</f>
        <v>6.09200000326382E-3</v>
      </c>
    </row>
    <row r="28" spans="1:20" x14ac:dyDescent="0.2">
      <c r="A28" s="9"/>
      <c r="B28" s="10"/>
      <c r="C28" s="11"/>
      <c r="D28" s="12"/>
      <c r="Q28" s="2"/>
    </row>
    <row r="29" spans="1:20" x14ac:dyDescent="0.2">
      <c r="A29" s="13"/>
      <c r="B29" s="14"/>
      <c r="C29" s="11"/>
      <c r="D29" s="11"/>
      <c r="Q29" s="2"/>
    </row>
    <row r="30" spans="1:20" x14ac:dyDescent="0.2">
      <c r="A30" s="13"/>
      <c r="B30" s="14"/>
      <c r="C30" s="11"/>
      <c r="D30" s="11"/>
      <c r="Q30" s="2"/>
    </row>
    <row r="31" spans="1:20" x14ac:dyDescent="0.2">
      <c r="A31" s="15"/>
      <c r="B31" s="10"/>
      <c r="C31" s="11"/>
      <c r="D31" s="12"/>
      <c r="Q31" s="2"/>
    </row>
    <row r="32" spans="1:20" x14ac:dyDescent="0.2">
      <c r="A32" s="15"/>
      <c r="B32" s="10"/>
      <c r="C32" s="11"/>
      <c r="D32" s="12"/>
      <c r="Q32" s="2"/>
    </row>
    <row r="33" spans="1:17" x14ac:dyDescent="0.2">
      <c r="A33" s="15"/>
      <c r="B33" s="10"/>
      <c r="C33" s="11"/>
      <c r="D33" s="12"/>
      <c r="Q33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8329-DE4E-4D91-B2DA-6E2407F4459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E11" sqref="E11:E17"/>
    </sheetView>
  </sheetViews>
  <sheetFormatPr defaultRowHeight="12.75" x14ac:dyDescent="0.2"/>
  <cols>
    <col min="1" max="1" width="16.28515625" style="12" customWidth="1"/>
    <col min="2" max="2" width="4.42578125" style="19" customWidth="1"/>
    <col min="3" max="3" width="12.7109375" style="12" customWidth="1"/>
    <col min="4" max="4" width="3.5703125" style="19" customWidth="1"/>
    <col min="5" max="5" width="12.42578125" style="19" customWidth="1"/>
    <col min="6" max="6" width="5.42578125" style="19" customWidth="1"/>
    <col min="7" max="7" width="12" style="19" customWidth="1"/>
    <col min="8" max="8" width="7.28515625" style="1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39" t="s">
        <v>53</v>
      </c>
      <c r="I1" s="40" t="s">
        <v>54</v>
      </c>
      <c r="J1" s="41" t="s">
        <v>51</v>
      </c>
    </row>
    <row r="2" spans="1:16" x14ac:dyDescent="0.2">
      <c r="I2" s="42" t="s">
        <v>55</v>
      </c>
      <c r="J2" s="43" t="s">
        <v>50</v>
      </c>
    </row>
    <row r="3" spans="1:16" x14ac:dyDescent="0.2">
      <c r="A3" s="44" t="s">
        <v>56</v>
      </c>
      <c r="I3" s="42" t="s">
        <v>57</v>
      </c>
      <c r="J3" s="43" t="s">
        <v>49</v>
      </c>
    </row>
    <row r="4" spans="1:16" x14ac:dyDescent="0.2">
      <c r="I4" s="42" t="s">
        <v>58</v>
      </c>
      <c r="J4" s="43" t="s">
        <v>49</v>
      </c>
    </row>
    <row r="5" spans="1:16" ht="13.5" thickBot="1" x14ac:dyDescent="0.25">
      <c r="I5" s="45" t="s">
        <v>59</v>
      </c>
      <c r="J5" s="46" t="s">
        <v>46</v>
      </c>
    </row>
    <row r="10" spans="1:16" ht="13.5" thickBot="1" x14ac:dyDescent="0.25"/>
    <row r="11" spans="1:16" ht="12.75" customHeight="1" thickBot="1" x14ac:dyDescent="0.25">
      <c r="A11" s="12" t="str">
        <f t="shared" ref="A11:A17" si="0">P11</f>
        <v>IBVS 2624 </v>
      </c>
      <c r="B11" s="10" t="str">
        <f t="shared" ref="B11:B17" si="1">IF(H11=INT(H11),"I","II")</f>
        <v>I</v>
      </c>
      <c r="C11" s="12">
        <f t="shared" ref="C11:C17" si="2">1*G11</f>
        <v>42271</v>
      </c>
      <c r="D11" s="19" t="str">
        <f t="shared" ref="D11:D17" si="3">VLOOKUP(F11,I$1:J$5,2,FALSE)</f>
        <v>vis</v>
      </c>
      <c r="E11" s="47">
        <f>VLOOKUP(C11,'Active 1'!C$21:E$973,3,FALSE)</f>
        <v>-491.52250050904178</v>
      </c>
      <c r="F11" s="10" t="s">
        <v>59</v>
      </c>
      <c r="G11" s="19" t="str">
        <f t="shared" ref="G11:G17" si="4">MID(I11,3,LEN(I11)-3)</f>
        <v>42271.0</v>
      </c>
      <c r="H11" s="12">
        <f t="shared" ref="H11:H17" si="5">1*K11</f>
        <v>-165</v>
      </c>
      <c r="I11" s="48" t="s">
        <v>60</v>
      </c>
      <c r="J11" s="49" t="s">
        <v>61</v>
      </c>
      <c r="K11" s="48">
        <v>-165</v>
      </c>
      <c r="L11" s="48" t="s">
        <v>62</v>
      </c>
      <c r="M11" s="49" t="s">
        <v>63</v>
      </c>
      <c r="N11" s="49" t="s">
        <v>64</v>
      </c>
      <c r="O11" s="50" t="s">
        <v>65</v>
      </c>
      <c r="P11" s="51" t="s">
        <v>44</v>
      </c>
    </row>
    <row r="12" spans="1:16" ht="12.75" customHeight="1" thickBot="1" x14ac:dyDescent="0.25">
      <c r="A12" s="12" t="str">
        <f t="shared" si="0"/>
        <v>IBVS 2624 </v>
      </c>
      <c r="B12" s="10" t="str">
        <f t="shared" si="1"/>
        <v>II</v>
      </c>
      <c r="C12" s="12">
        <f t="shared" si="2"/>
        <v>42281.86</v>
      </c>
      <c r="D12" s="19" t="str">
        <f t="shared" si="3"/>
        <v>vis</v>
      </c>
      <c r="E12" s="47">
        <f>VLOOKUP(C12,'Active 1'!C$21:E$973,3,FALSE)</f>
        <v>-491.00170978567684</v>
      </c>
      <c r="F12" s="10" t="s">
        <v>59</v>
      </c>
      <c r="G12" s="19" t="str">
        <f t="shared" si="4"/>
        <v>42281.86</v>
      </c>
      <c r="H12" s="12">
        <f t="shared" si="5"/>
        <v>-164.5</v>
      </c>
      <c r="I12" s="48" t="s">
        <v>66</v>
      </c>
      <c r="J12" s="49" t="s">
        <v>67</v>
      </c>
      <c r="K12" s="48">
        <v>-164.5</v>
      </c>
      <c r="L12" s="48" t="s">
        <v>68</v>
      </c>
      <c r="M12" s="49" t="s">
        <v>63</v>
      </c>
      <c r="N12" s="49" t="s">
        <v>64</v>
      </c>
      <c r="O12" s="50" t="s">
        <v>65</v>
      </c>
      <c r="P12" s="51" t="s">
        <v>44</v>
      </c>
    </row>
    <row r="13" spans="1:16" ht="12.75" customHeight="1" thickBot="1" x14ac:dyDescent="0.25">
      <c r="A13" s="12" t="str">
        <f t="shared" si="0"/>
        <v>IBVS 2624 </v>
      </c>
      <c r="B13" s="10" t="str">
        <f t="shared" si="1"/>
        <v>I</v>
      </c>
      <c r="C13" s="12">
        <f t="shared" si="2"/>
        <v>45711.73</v>
      </c>
      <c r="D13" s="19" t="str">
        <f t="shared" si="3"/>
        <v>vis</v>
      </c>
      <c r="E13" s="47">
        <f>VLOOKUP(C13,'Active 1'!C$21:E$973,3,FALSE)</f>
        <v>-326.5224760520187</v>
      </c>
      <c r="F13" s="10" t="s">
        <v>59</v>
      </c>
      <c r="G13" s="19" t="str">
        <f t="shared" si="4"/>
        <v>45711.73</v>
      </c>
      <c r="H13" s="12">
        <f t="shared" si="5"/>
        <v>0</v>
      </c>
      <c r="I13" s="48" t="s">
        <v>69</v>
      </c>
      <c r="J13" s="49" t="s">
        <v>70</v>
      </c>
      <c r="K13" s="48">
        <v>0</v>
      </c>
      <c r="L13" s="48" t="s">
        <v>71</v>
      </c>
      <c r="M13" s="49" t="s">
        <v>63</v>
      </c>
      <c r="N13" s="49" t="s">
        <v>64</v>
      </c>
      <c r="O13" s="50" t="s">
        <v>65</v>
      </c>
      <c r="P13" s="51" t="s">
        <v>44</v>
      </c>
    </row>
    <row r="14" spans="1:16" ht="12.75" customHeight="1" thickBot="1" x14ac:dyDescent="0.25">
      <c r="A14" s="12" t="str">
        <f t="shared" si="0"/>
        <v>IBVS 2624 </v>
      </c>
      <c r="B14" s="10" t="str">
        <f t="shared" si="1"/>
        <v>II</v>
      </c>
      <c r="C14" s="12">
        <f t="shared" si="2"/>
        <v>45722.584999999999</v>
      </c>
      <c r="D14" s="19" t="str">
        <f t="shared" si="3"/>
        <v>vis</v>
      </c>
      <c r="E14" s="47">
        <f>VLOOKUP(C14,'Active 1'!C$21:E$973,3,FALSE)</f>
        <v>-326.00192510338854</v>
      </c>
      <c r="F14" s="10" t="s">
        <v>59</v>
      </c>
      <c r="G14" s="19" t="str">
        <f t="shared" si="4"/>
        <v>45722.585</v>
      </c>
      <c r="H14" s="12">
        <f t="shared" si="5"/>
        <v>0.5</v>
      </c>
      <c r="I14" s="48" t="s">
        <v>72</v>
      </c>
      <c r="J14" s="49" t="s">
        <v>73</v>
      </c>
      <c r="K14" s="48">
        <v>0.5</v>
      </c>
      <c r="L14" s="48" t="s">
        <v>74</v>
      </c>
      <c r="M14" s="49" t="s">
        <v>63</v>
      </c>
      <c r="N14" s="49" t="s">
        <v>64</v>
      </c>
      <c r="O14" s="50" t="s">
        <v>65</v>
      </c>
      <c r="P14" s="51" t="s">
        <v>44</v>
      </c>
    </row>
    <row r="15" spans="1:16" ht="12.75" customHeight="1" thickBot="1" x14ac:dyDescent="0.25">
      <c r="A15" s="12" t="str">
        <f t="shared" si="0"/>
        <v>BAVM 131 </v>
      </c>
      <c r="B15" s="10" t="str">
        <f t="shared" si="1"/>
        <v>I</v>
      </c>
      <c r="C15" s="12">
        <f t="shared" si="2"/>
        <v>51425.402000000002</v>
      </c>
      <c r="D15" s="19" t="str">
        <f t="shared" si="3"/>
        <v>vis</v>
      </c>
      <c r="E15" s="47">
        <f>VLOOKUP(C15,'Active 1'!C$21:E$973,3,FALSE)</f>
        <v>-52.523638671751492</v>
      </c>
      <c r="F15" s="10" t="s">
        <v>59</v>
      </c>
      <c r="G15" s="19" t="str">
        <f t="shared" si="4"/>
        <v>51425.402</v>
      </c>
      <c r="H15" s="12">
        <f t="shared" si="5"/>
        <v>274</v>
      </c>
      <c r="I15" s="48" t="s">
        <v>75</v>
      </c>
      <c r="J15" s="49" t="s">
        <v>76</v>
      </c>
      <c r="K15" s="48">
        <v>274</v>
      </c>
      <c r="L15" s="48" t="s">
        <v>77</v>
      </c>
      <c r="M15" s="49" t="s">
        <v>78</v>
      </c>
      <c r="N15" s="49"/>
      <c r="O15" s="50" t="s">
        <v>79</v>
      </c>
      <c r="P15" s="51" t="s">
        <v>48</v>
      </c>
    </row>
    <row r="16" spans="1:16" ht="12.75" customHeight="1" thickBot="1" x14ac:dyDescent="0.25">
      <c r="A16" s="12" t="str">
        <f t="shared" si="0"/>
        <v>BAVM 132 </v>
      </c>
      <c r="B16" s="10" t="str">
        <f t="shared" si="1"/>
        <v>I</v>
      </c>
      <c r="C16" s="12">
        <f t="shared" si="2"/>
        <v>51425.435400000002</v>
      </c>
      <c r="D16" s="19" t="str">
        <f t="shared" si="3"/>
        <v>vis</v>
      </c>
      <c r="E16" s="47">
        <f>VLOOKUP(C16,'Active 1'!C$21:E$973,3,FALSE)</f>
        <v>-52.522036976524923</v>
      </c>
      <c r="F16" s="10" t="s">
        <v>59</v>
      </c>
      <c r="G16" s="19" t="str">
        <f t="shared" si="4"/>
        <v>51425.4354</v>
      </c>
      <c r="H16" s="12">
        <f t="shared" si="5"/>
        <v>274</v>
      </c>
      <c r="I16" s="48" t="s">
        <v>80</v>
      </c>
      <c r="J16" s="49" t="s">
        <v>81</v>
      </c>
      <c r="K16" s="48">
        <v>274</v>
      </c>
      <c r="L16" s="48" t="s">
        <v>82</v>
      </c>
      <c r="M16" s="49" t="s">
        <v>63</v>
      </c>
      <c r="N16" s="49" t="s">
        <v>59</v>
      </c>
      <c r="O16" s="50" t="s">
        <v>83</v>
      </c>
      <c r="P16" s="51" t="s">
        <v>84</v>
      </c>
    </row>
    <row r="17" spans="1:16" ht="12.75" customHeight="1" thickBot="1" x14ac:dyDescent="0.25">
      <c r="A17" s="12" t="str">
        <f t="shared" si="0"/>
        <v>BAVM 158 </v>
      </c>
      <c r="B17" s="10" t="str">
        <f t="shared" si="1"/>
        <v>II</v>
      </c>
      <c r="C17" s="12">
        <f t="shared" si="2"/>
        <v>51853.385600000001</v>
      </c>
      <c r="D17" s="19" t="str">
        <f t="shared" si="3"/>
        <v>vis</v>
      </c>
      <c r="E17" s="47">
        <f>VLOOKUP(C17,'Active 1'!C$21:E$973,3,FALSE)</f>
        <v>-31.999707858463427</v>
      </c>
      <c r="F17" s="10" t="s">
        <v>59</v>
      </c>
      <c r="G17" s="19" t="str">
        <f t="shared" si="4"/>
        <v>51853.3856</v>
      </c>
      <c r="H17" s="12">
        <f t="shared" si="5"/>
        <v>294.5</v>
      </c>
      <c r="I17" s="48" t="s">
        <v>85</v>
      </c>
      <c r="J17" s="49" t="s">
        <v>86</v>
      </c>
      <c r="K17" s="48">
        <v>294.5</v>
      </c>
      <c r="L17" s="48" t="s">
        <v>87</v>
      </c>
      <c r="M17" s="49" t="s">
        <v>63</v>
      </c>
      <c r="N17" s="49" t="s">
        <v>59</v>
      </c>
      <c r="O17" s="50" t="s">
        <v>83</v>
      </c>
      <c r="P17" s="51" t="s">
        <v>88</v>
      </c>
    </row>
    <row r="18" spans="1:16" x14ac:dyDescent="0.2">
      <c r="B18" s="10"/>
      <c r="F18" s="10"/>
    </row>
    <row r="19" spans="1:16" x14ac:dyDescent="0.2">
      <c r="B19" s="10"/>
      <c r="F19" s="10"/>
    </row>
    <row r="20" spans="1:16" x14ac:dyDescent="0.2">
      <c r="B20" s="10"/>
      <c r="F20" s="10"/>
    </row>
    <row r="21" spans="1:16" x14ac:dyDescent="0.2">
      <c r="B21" s="10"/>
      <c r="F21" s="10"/>
    </row>
    <row r="22" spans="1:16" x14ac:dyDescent="0.2">
      <c r="B22" s="10"/>
      <c r="F22" s="10"/>
    </row>
    <row r="23" spans="1:16" x14ac:dyDescent="0.2">
      <c r="B23" s="10"/>
      <c r="F23" s="10"/>
    </row>
    <row r="24" spans="1:16" x14ac:dyDescent="0.2">
      <c r="B24" s="10"/>
      <c r="F24" s="10"/>
    </row>
    <row r="25" spans="1:16" x14ac:dyDescent="0.2">
      <c r="B25" s="10"/>
      <c r="F25" s="10"/>
    </row>
    <row r="26" spans="1:16" x14ac:dyDescent="0.2">
      <c r="B26" s="10"/>
      <c r="F26" s="10"/>
    </row>
    <row r="27" spans="1:16" x14ac:dyDescent="0.2">
      <c r="B27" s="10"/>
      <c r="F27" s="10"/>
    </row>
    <row r="28" spans="1:16" x14ac:dyDescent="0.2">
      <c r="B28" s="10"/>
      <c r="F28" s="10"/>
    </row>
    <row r="29" spans="1:16" x14ac:dyDescent="0.2">
      <c r="B29" s="10"/>
      <c r="F29" s="10"/>
    </row>
    <row r="30" spans="1:16" x14ac:dyDescent="0.2">
      <c r="B30" s="10"/>
      <c r="F30" s="10"/>
    </row>
    <row r="31" spans="1:16" x14ac:dyDescent="0.2">
      <c r="B31" s="10"/>
      <c r="F31" s="10"/>
    </row>
    <row r="32" spans="1:16" x14ac:dyDescent="0.2">
      <c r="B32" s="10"/>
      <c r="F32" s="10"/>
    </row>
    <row r="33" spans="2:6" x14ac:dyDescent="0.2">
      <c r="B33" s="10"/>
      <c r="F33" s="10"/>
    </row>
    <row r="34" spans="2:6" x14ac:dyDescent="0.2">
      <c r="B34" s="10"/>
      <c r="F34" s="10"/>
    </row>
    <row r="35" spans="2:6" x14ac:dyDescent="0.2">
      <c r="B35" s="10"/>
      <c r="F35" s="10"/>
    </row>
    <row r="36" spans="2:6" x14ac:dyDescent="0.2">
      <c r="B36" s="10"/>
      <c r="F36" s="10"/>
    </row>
    <row r="37" spans="2:6" x14ac:dyDescent="0.2">
      <c r="B37" s="10"/>
      <c r="F37" s="10"/>
    </row>
    <row r="38" spans="2:6" x14ac:dyDescent="0.2">
      <c r="B38" s="10"/>
      <c r="F38" s="10"/>
    </row>
    <row r="39" spans="2:6" x14ac:dyDescent="0.2">
      <c r="B39" s="10"/>
      <c r="F39" s="10"/>
    </row>
    <row r="40" spans="2:6" x14ac:dyDescent="0.2">
      <c r="B40" s="10"/>
      <c r="F40" s="10"/>
    </row>
    <row r="41" spans="2:6" x14ac:dyDescent="0.2">
      <c r="B41" s="10"/>
      <c r="F41" s="10"/>
    </row>
    <row r="42" spans="2:6" x14ac:dyDescent="0.2">
      <c r="B42" s="10"/>
      <c r="F42" s="10"/>
    </row>
    <row r="43" spans="2:6" x14ac:dyDescent="0.2">
      <c r="B43" s="10"/>
      <c r="F43" s="10"/>
    </row>
    <row r="44" spans="2:6" x14ac:dyDescent="0.2">
      <c r="B44" s="10"/>
      <c r="F44" s="10"/>
    </row>
    <row r="45" spans="2:6" x14ac:dyDescent="0.2">
      <c r="B45" s="10"/>
      <c r="F45" s="10"/>
    </row>
    <row r="46" spans="2:6" x14ac:dyDescent="0.2">
      <c r="B46" s="10"/>
      <c r="F46" s="10"/>
    </row>
    <row r="47" spans="2:6" x14ac:dyDescent="0.2">
      <c r="B47" s="10"/>
      <c r="F47" s="10"/>
    </row>
    <row r="48" spans="2:6" x14ac:dyDescent="0.2">
      <c r="B48" s="10"/>
      <c r="F48" s="10"/>
    </row>
    <row r="49" spans="2:6" x14ac:dyDescent="0.2">
      <c r="B49" s="10"/>
      <c r="F49" s="10"/>
    </row>
    <row r="50" spans="2:6" x14ac:dyDescent="0.2">
      <c r="B50" s="10"/>
      <c r="F50" s="10"/>
    </row>
    <row r="51" spans="2:6" x14ac:dyDescent="0.2">
      <c r="B51" s="10"/>
      <c r="F51" s="10"/>
    </row>
    <row r="52" spans="2:6" x14ac:dyDescent="0.2">
      <c r="B52" s="10"/>
      <c r="F52" s="10"/>
    </row>
    <row r="53" spans="2:6" x14ac:dyDescent="0.2">
      <c r="B53" s="10"/>
      <c r="F53" s="10"/>
    </row>
    <row r="54" spans="2:6" x14ac:dyDescent="0.2">
      <c r="B54" s="10"/>
      <c r="F54" s="10"/>
    </row>
    <row r="55" spans="2:6" x14ac:dyDescent="0.2">
      <c r="B55" s="10"/>
      <c r="F55" s="10"/>
    </row>
    <row r="56" spans="2:6" x14ac:dyDescent="0.2">
      <c r="B56" s="10"/>
      <c r="F56" s="10"/>
    </row>
    <row r="57" spans="2:6" x14ac:dyDescent="0.2">
      <c r="B57" s="10"/>
      <c r="F57" s="10"/>
    </row>
    <row r="58" spans="2:6" x14ac:dyDescent="0.2">
      <c r="B58" s="10"/>
      <c r="F58" s="10"/>
    </row>
    <row r="59" spans="2:6" x14ac:dyDescent="0.2">
      <c r="B59" s="10"/>
      <c r="F59" s="10"/>
    </row>
    <row r="60" spans="2:6" x14ac:dyDescent="0.2">
      <c r="B60" s="10"/>
      <c r="F60" s="10"/>
    </row>
    <row r="61" spans="2:6" x14ac:dyDescent="0.2">
      <c r="B61" s="10"/>
      <c r="F61" s="10"/>
    </row>
    <row r="62" spans="2:6" x14ac:dyDescent="0.2">
      <c r="B62" s="10"/>
      <c r="F62" s="10"/>
    </row>
    <row r="63" spans="2:6" x14ac:dyDescent="0.2">
      <c r="B63" s="10"/>
      <c r="F63" s="10"/>
    </row>
    <row r="64" spans="2:6" x14ac:dyDescent="0.2">
      <c r="B64" s="10"/>
      <c r="F64" s="10"/>
    </row>
    <row r="65" spans="2:6" x14ac:dyDescent="0.2">
      <c r="B65" s="10"/>
      <c r="F65" s="10"/>
    </row>
    <row r="66" spans="2:6" x14ac:dyDescent="0.2">
      <c r="B66" s="10"/>
      <c r="F66" s="10"/>
    </row>
    <row r="67" spans="2:6" x14ac:dyDescent="0.2">
      <c r="B67" s="10"/>
      <c r="F67" s="10"/>
    </row>
    <row r="68" spans="2:6" x14ac:dyDescent="0.2">
      <c r="B68" s="10"/>
      <c r="F68" s="10"/>
    </row>
    <row r="69" spans="2:6" x14ac:dyDescent="0.2">
      <c r="B69" s="10"/>
      <c r="F69" s="10"/>
    </row>
    <row r="70" spans="2:6" x14ac:dyDescent="0.2">
      <c r="B70" s="10"/>
      <c r="F70" s="10"/>
    </row>
    <row r="71" spans="2:6" x14ac:dyDescent="0.2">
      <c r="B71" s="10"/>
      <c r="F71" s="10"/>
    </row>
    <row r="72" spans="2:6" x14ac:dyDescent="0.2">
      <c r="B72" s="10"/>
      <c r="F72" s="10"/>
    </row>
    <row r="73" spans="2:6" x14ac:dyDescent="0.2">
      <c r="B73" s="10"/>
      <c r="F73" s="10"/>
    </row>
    <row r="74" spans="2:6" x14ac:dyDescent="0.2">
      <c r="B74" s="10"/>
      <c r="F74" s="10"/>
    </row>
    <row r="75" spans="2:6" x14ac:dyDescent="0.2">
      <c r="B75" s="10"/>
      <c r="F75" s="10"/>
    </row>
    <row r="76" spans="2:6" x14ac:dyDescent="0.2">
      <c r="B76" s="10"/>
      <c r="F76" s="10"/>
    </row>
    <row r="77" spans="2:6" x14ac:dyDescent="0.2">
      <c r="B77" s="10"/>
      <c r="F77" s="10"/>
    </row>
    <row r="78" spans="2:6" x14ac:dyDescent="0.2">
      <c r="B78" s="10"/>
      <c r="F78" s="10"/>
    </row>
    <row r="79" spans="2:6" x14ac:dyDescent="0.2">
      <c r="B79" s="10"/>
      <c r="F79" s="10"/>
    </row>
    <row r="80" spans="2: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</sheetData>
  <phoneticPr fontId="7" type="noConversion"/>
  <hyperlinks>
    <hyperlink ref="A3" r:id="rId1" xr:uid="{00000000-0004-0000-0100-000000000000}"/>
    <hyperlink ref="P11" r:id="rId2" display="http://www.konkoly.hu/cgi-bin/IBVS?2624" xr:uid="{00000000-0004-0000-0100-000001000000}"/>
    <hyperlink ref="P12" r:id="rId3" display="http://www.konkoly.hu/cgi-bin/IBVS?2624" xr:uid="{00000000-0004-0000-0100-000002000000}"/>
    <hyperlink ref="P13" r:id="rId4" display="http://www.konkoly.hu/cgi-bin/IBVS?2624" xr:uid="{00000000-0004-0000-0100-000003000000}"/>
    <hyperlink ref="P14" r:id="rId5" display="http://www.konkoly.hu/cgi-bin/IBVS?2624" xr:uid="{00000000-0004-0000-0100-000004000000}"/>
    <hyperlink ref="P15" r:id="rId6" display="http://www.bav-astro.de/sfs/BAVM_link.php?BAVMnr=131" xr:uid="{00000000-0004-0000-0100-000005000000}"/>
    <hyperlink ref="P16" r:id="rId7" display="http://www.bav-astro.de/sfs/BAVM_link.php?BAVMnr=132" xr:uid="{00000000-0004-0000-0100-000006000000}"/>
    <hyperlink ref="P17" r:id="rId8" display="http://www.bav-astro.de/sfs/BAVM_link.php?BAVMnr=158" xr:uid="{00000000-0004-0000-0100-000007000000}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2024-01-09T23:19:58Z</dcterms:modified>
</cp:coreProperties>
</file>