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B05A75-4252-475E-8E77-8EA26AACD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  <sheet name="A (old)" sheetId="2" r:id="rId3"/>
  </sheets>
  <calcPr calcId="181029"/>
</workbook>
</file>

<file path=xl/calcChain.xml><?xml version="1.0" encoding="utf-8"?>
<calcChain xmlns="http://schemas.openxmlformats.org/spreadsheetml/2006/main">
  <c r="E40" i="3" l="1"/>
  <c r="F40" i="3" s="1"/>
  <c r="G40" i="3" s="1"/>
  <c r="K40" i="3" s="1"/>
  <c r="Q40" i="3"/>
  <c r="E42" i="3"/>
  <c r="F42" i="3"/>
  <c r="G42" i="3" s="1"/>
  <c r="K42" i="3" s="1"/>
  <c r="Q42" i="3"/>
  <c r="E39" i="3"/>
  <c r="F39" i="3" s="1"/>
  <c r="G39" i="3" s="1"/>
  <c r="K39" i="3" s="1"/>
  <c r="Q39" i="3"/>
  <c r="E41" i="3"/>
  <c r="F41" i="3" s="1"/>
  <c r="G41" i="3" s="1"/>
  <c r="K41" i="3" s="1"/>
  <c r="Q41" i="3"/>
  <c r="E35" i="3"/>
  <c r="F35" i="3"/>
  <c r="G35" i="3"/>
  <c r="K35" i="3"/>
  <c r="E38" i="3"/>
  <c r="F38" i="3"/>
  <c r="G38" i="3" s="1"/>
  <c r="K38" i="3" s="1"/>
  <c r="Q35" i="3"/>
  <c r="Q38" i="3"/>
  <c r="E36" i="3"/>
  <c r="F36" i="3"/>
  <c r="G36" i="3" s="1"/>
  <c r="K36" i="3" s="1"/>
  <c r="E37" i="3"/>
  <c r="F37" i="3" s="1"/>
  <c r="G37" i="3" s="1"/>
  <c r="K37" i="3" s="1"/>
  <c r="E32" i="3"/>
  <c r="E16" i="4" s="1"/>
  <c r="F32" i="3"/>
  <c r="G32" i="3" s="1"/>
  <c r="K32" i="3" s="1"/>
  <c r="E33" i="3"/>
  <c r="F33" i="3" s="1"/>
  <c r="G33" i="3" s="1"/>
  <c r="K33" i="3" s="1"/>
  <c r="E34" i="3"/>
  <c r="E22" i="4" s="1"/>
  <c r="F34" i="3"/>
  <c r="G34" i="3" s="1"/>
  <c r="K34" i="3" s="1"/>
  <c r="Q36" i="3"/>
  <c r="Q37" i="3"/>
  <c r="E30" i="3"/>
  <c r="F30" i="3" s="1"/>
  <c r="G30" i="3" s="1"/>
  <c r="K30" i="3" s="1"/>
  <c r="E31" i="3"/>
  <c r="F31" i="3"/>
  <c r="G31" i="3"/>
  <c r="K31" i="3" s="1"/>
  <c r="E21" i="3"/>
  <c r="F21" i="3" s="1"/>
  <c r="E22" i="3"/>
  <c r="F22" i="3" s="1"/>
  <c r="G22" i="3" s="1"/>
  <c r="K22" i="3" s="1"/>
  <c r="E23" i="3"/>
  <c r="E19" i="4" s="1"/>
  <c r="E24" i="3"/>
  <c r="F24" i="3" s="1"/>
  <c r="G24" i="3" s="1"/>
  <c r="K24" i="3" s="1"/>
  <c r="E25" i="3"/>
  <c r="E21" i="4" s="1"/>
  <c r="E26" i="3"/>
  <c r="F26" i="3" s="1"/>
  <c r="G26" i="3" s="1"/>
  <c r="E27" i="3"/>
  <c r="F27" i="3"/>
  <c r="G27" i="3" s="1"/>
  <c r="K27" i="3" s="1"/>
  <c r="E28" i="3"/>
  <c r="F28" i="3"/>
  <c r="G28" i="3" s="1"/>
  <c r="K28" i="3" s="1"/>
  <c r="E29" i="3"/>
  <c r="F29" i="3"/>
  <c r="G29" i="3"/>
  <c r="K29" i="3" s="1"/>
  <c r="D9" i="3"/>
  <c r="C9" i="3"/>
  <c r="F16" i="3"/>
  <c r="F17" i="3" s="1"/>
  <c r="Q34" i="3"/>
  <c r="Q25" i="3"/>
  <c r="Q24" i="3"/>
  <c r="Q23" i="3"/>
  <c r="Q22" i="3"/>
  <c r="G19" i="4"/>
  <c r="C19" i="4"/>
  <c r="G20" i="4"/>
  <c r="C20" i="4"/>
  <c r="E20" i="4"/>
  <c r="G21" i="4"/>
  <c r="C21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G17" i="4"/>
  <c r="C17" i="4"/>
  <c r="E17" i="4"/>
  <c r="G22" i="4"/>
  <c r="C22" i="4"/>
  <c r="G18" i="4"/>
  <c r="C18" i="4"/>
  <c r="E18" i="4"/>
  <c r="H22" i="4"/>
  <c r="B22" i="4"/>
  <c r="D22" i="4"/>
  <c r="A22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Q26" i="3"/>
  <c r="C17" i="3"/>
  <c r="Q21" i="3"/>
  <c r="Q27" i="3"/>
  <c r="Q28" i="3"/>
  <c r="Q29" i="3"/>
  <c r="Q30" i="3"/>
  <c r="Q31" i="3"/>
  <c r="Q32" i="3"/>
  <c r="Q33" i="3"/>
  <c r="E28" i="2"/>
  <c r="F28" i="2"/>
  <c r="G28" i="2"/>
  <c r="J28" i="2"/>
  <c r="G11" i="2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Q28" i="2"/>
  <c r="E21" i="2"/>
  <c r="F21" i="2"/>
  <c r="E15" i="2"/>
  <c r="C17" i="2"/>
  <c r="Q27" i="2"/>
  <c r="Q21" i="2"/>
  <c r="Q22" i="2"/>
  <c r="Q23" i="2"/>
  <c r="Q24" i="2"/>
  <c r="Q25" i="2"/>
  <c r="Q26" i="2"/>
  <c r="C12" i="3"/>
  <c r="C11" i="3"/>
  <c r="C12" i="2"/>
  <c r="F25" i="3" l="1"/>
  <c r="G25" i="3" s="1"/>
  <c r="K25" i="3" s="1"/>
  <c r="F23" i="3"/>
  <c r="G23" i="3" s="1"/>
  <c r="K23" i="3" s="1"/>
  <c r="O42" i="3"/>
  <c r="O40" i="3"/>
  <c r="O41" i="3"/>
  <c r="O39" i="3"/>
  <c r="C16" i="2"/>
  <c r="D18" i="2" s="1"/>
  <c r="C16" i="3"/>
  <c r="D18" i="3" s="1"/>
  <c r="O31" i="3"/>
  <c r="O36" i="3"/>
  <c r="O22" i="3"/>
  <c r="O38" i="3"/>
  <c r="O26" i="3"/>
  <c r="O33" i="3"/>
  <c r="O34" i="3"/>
  <c r="O27" i="3"/>
  <c r="O35" i="3"/>
  <c r="O29" i="3"/>
  <c r="O37" i="3"/>
  <c r="C15" i="3"/>
  <c r="O28" i="3"/>
  <c r="O23" i="3"/>
  <c r="O30" i="3"/>
  <c r="O32" i="3"/>
  <c r="O24" i="3"/>
  <c r="O25" i="3"/>
  <c r="C11" i="2"/>
  <c r="C15" i="2" l="1"/>
  <c r="C18" i="2" s="1"/>
  <c r="O24" i="2"/>
  <c r="O28" i="2"/>
  <c r="O22" i="2"/>
  <c r="O23" i="2"/>
  <c r="O25" i="2"/>
  <c r="O27" i="2"/>
  <c r="O26" i="2"/>
  <c r="F18" i="3"/>
  <c r="F19" i="3" s="1"/>
  <c r="C18" i="3"/>
  <c r="E16" i="2" l="1"/>
  <c r="E17" i="2" s="1"/>
</calcChain>
</file>

<file path=xl/sharedStrings.xml><?xml version="1.0" encoding="utf-8"?>
<sst xmlns="http://schemas.openxmlformats.org/spreadsheetml/2006/main" count="258" uniqueCount="122">
  <si>
    <t>JAVSO..47..105</t>
  </si>
  <si>
    <t>VSX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</si>
  <si>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</si>
  <si>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</si>
  <si>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</si>
  <si>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</si>
  <si>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</si>
  <si>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</si>
  <si>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</si>
  <si>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</si>
  <si>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</si>
  <si>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</si>
  <si>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</si>
  <si>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</si>
  <si>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</si>
  <si>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</si>
  <si>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</si>
  <si>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</si>
  <si>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</si>
  <si>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</si>
  <si>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</si>
  <si>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</si>
  <si>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</si>
  <si>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</si>
  <si>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</si>
  <si>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</si>
  <si>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</si>
  <si>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</si>
  <si>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</si>
  <si>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</si>
  <si>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</si>
  <si>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</si>
  <si>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</si>
  <si>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</si>
  <si>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</si>
  <si>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</si>
  <si>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</si>
  <si>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</si>
  <si>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</si>
  <si>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QR And / GSC 01185-01428</t>
  </si>
  <si>
    <t xml:space="preserve">EA+NL     </t>
  </si>
  <si>
    <t>IBVS 5777</t>
  </si>
  <si>
    <t>I</t>
  </si>
  <si>
    <t>II</t>
  </si>
  <si>
    <t>IBVS 5871</t>
  </si>
  <si>
    <t>Start of linear fit &gt;&gt;&gt;&gt;&gt;&gt;&gt;&gt;&gt;&gt;&gt;&gt;&gt;&gt;&gt;&gt;&gt;&gt;&gt;&gt;&gt;</t>
  </si>
  <si>
    <t>RHN 2009</t>
  </si>
  <si>
    <t>Nelson</t>
  </si>
  <si>
    <t>Asymmetric light curve as well.</t>
  </si>
  <si>
    <t>OEJV 0074</t>
  </si>
  <si>
    <t>Is the cycle count right??</t>
  </si>
  <si>
    <t>IBVS 5929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</si>
  <si>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</si>
  <si>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</si>
  <si>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</si>
  <si>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</si>
  <si>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</si>
  <si>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</si>
  <si>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</si>
  <si>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</si>
  <si>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</si>
  <si>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</si>
  <si>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</si>
  <si>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2451780.4897 </t>
  </si>
  <si>
    <t> 23.08.2000 23:45 </t>
  </si>
  <si>
    <t> 0.1768 </t>
  </si>
  <si>
    <t>C </t>
  </si>
  <si>
    <t>ns</t>
  </si>
  <si>
    <t> J.Šafár </t>
  </si>
  <si>
    <t>OEJV 0074 </t>
  </si>
  <si>
    <t>2451783.3286 </t>
  </si>
  <si>
    <t> 26.08.2000 19:53 </t>
  </si>
  <si>
    <t> 0.0436 </t>
  </si>
  <si>
    <t>2451898.4098 </t>
  </si>
  <si>
    <t> 19.12.2000 21:50 </t>
  </si>
  <si>
    <t> -0.1248 </t>
  </si>
  <si>
    <t>2452857.4022 </t>
  </si>
  <si>
    <t> 05.08.2003 21:39 </t>
  </si>
  <si>
    <t> -0.1153 </t>
  </si>
  <si>
    <t> K.Koss &amp; D.Motl </t>
  </si>
  <si>
    <t>2453991.5901 </t>
  </si>
  <si>
    <t> 13.09.2006 02:09 </t>
  </si>
  <si>
    <t> 0.0688 </t>
  </si>
  <si>
    <t>m</t>
  </si>
  <si>
    <t> S.Parimucha et al. </t>
  </si>
  <si>
    <t>IBVS 5777 </t>
  </si>
  <si>
    <t>2454003.4696 </t>
  </si>
  <si>
    <t> 24.09.2006 23:16 </t>
  </si>
  <si>
    <t> 0.0601 </t>
  </si>
  <si>
    <t>2454009.4160 </t>
  </si>
  <si>
    <t> 30.09.2006 21:59 </t>
  </si>
  <si>
    <t> 0.0624 </t>
  </si>
  <si>
    <t>2454025.2708 </t>
  </si>
  <si>
    <t> 16.10.2006 18:29 </t>
  </si>
  <si>
    <t> 0.0662 </t>
  </si>
  <si>
    <t>2454026.5804 </t>
  </si>
  <si>
    <t> 18.10.2006 01:55 </t>
  </si>
  <si>
    <t> 0.0549 </t>
  </si>
  <si>
    <t>2454792.711 </t>
  </si>
  <si>
    <t> 22.11.2008 05:03 </t>
  </si>
  <si>
    <t> 0.056 </t>
  </si>
  <si>
    <t> R.Diethelm </t>
  </si>
  <si>
    <t>IBVS 5871 </t>
  </si>
  <si>
    <t>2455109.745 </t>
  </si>
  <si>
    <t> 05.10.2009 05:52 </t>
  </si>
  <si>
    <t> 0.071 </t>
  </si>
  <si>
    <t> R.Nelson </t>
  </si>
  <si>
    <t>IBVS 5929 </t>
  </si>
  <si>
    <t>2455857.4089 </t>
  </si>
  <si>
    <t> 22.10.2011 21:48 </t>
  </si>
  <si>
    <t> 0.0980 </t>
  </si>
  <si>
    <t>-I</t>
  </si>
  <si>
    <t> F.Agerer </t>
  </si>
  <si>
    <t>BAVM 225 </t>
  </si>
  <si>
    <t>Add cycle</t>
  </si>
  <si>
    <t>Old Cycle</t>
  </si>
  <si>
    <t>2016-06-06 Checked by ToMcat</t>
  </si>
  <si>
    <t>JAVSO..46..184</t>
  </si>
  <si>
    <t>JAVSO..48…87</t>
  </si>
  <si>
    <t>JAVSO, 48, 87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</si>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</sst>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8" fillId="0" borderId="0"/>
    <xf numFmtId="0" fontId="18" fillId="0" borderId="0"/>
    <xf numFmtId="0" fontId="18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19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0" fillId="0" borderId="0" xfId="0" quotePrefix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43" applyFont="1" applyAlignment="1">
      <alignment horizontal="left"/>
    </xf>
    <xf numFmtId="0" fontId="23" fillId="0" borderId="0" xfId="43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457831325301204"/>
          <c:w val="0.8137410646328309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B-4302-A229-2CDFB3B291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B-4302-A229-2CDFB3B291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B-4302-A229-2CDFB3B291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0.1303359454323072</c:v>
                </c:pt>
                <c:pt idx="15">
                  <c:v>0.13388294543256052</c:v>
                </c:pt>
                <c:pt idx="16">
                  <c:v>0.14047294542979216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-2.2388054640032351E-2</c:v>
                </c:pt>
                <c:pt idx="20">
                  <c:v>-0.1614845545773278</c:v>
                </c:pt>
                <c:pt idx="21">
                  <c:v>5.5987445513892453E-2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B-4302-A229-2CDFB3B291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B-4302-A229-2CDFB3B291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B-4302-A229-2CDFB3B291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B-4302-A229-2CDFB3B291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4.2811554742989456E-2</c:v>
                </c:pt>
                <c:pt idx="2">
                  <c:v>4.2819051378045356E-2</c:v>
                </c:pt>
                <c:pt idx="3">
                  <c:v>4.3108921266873483E-2</c:v>
                </c:pt>
                <c:pt idx="4">
                  <c:v>4.5527835511577165E-2</c:v>
                </c:pt>
                <c:pt idx="5">
                  <c:v>4.8389051224578941E-2</c:v>
                </c:pt>
                <c:pt idx="6">
                  <c:v>4.8389051224578941E-2</c:v>
                </c:pt>
                <c:pt idx="7">
                  <c:v>4.8419037764802539E-2</c:v>
                </c:pt>
                <c:pt idx="8">
                  <c:v>4.8434031034914338E-2</c:v>
                </c:pt>
                <c:pt idx="9">
                  <c:v>4.8474013088545806E-2</c:v>
                </c:pt>
                <c:pt idx="10">
                  <c:v>4.8477344926348427E-2</c:v>
                </c:pt>
                <c:pt idx="11">
                  <c:v>5.0409810851869276E-2</c:v>
                </c:pt>
                <c:pt idx="12">
                  <c:v>5.1209451924498592E-2</c:v>
                </c:pt>
                <c:pt idx="13">
                  <c:v>5.309527212078273E-2</c:v>
                </c:pt>
                <c:pt idx="14">
                  <c:v>5.9359127189712375E-2</c:v>
                </c:pt>
                <c:pt idx="15">
                  <c:v>5.9530716836547419E-2</c:v>
                </c:pt>
                <c:pt idx="16">
                  <c:v>5.9547376025560525E-2</c:v>
                </c:pt>
                <c:pt idx="17">
                  <c:v>6.0430313043255399E-2</c:v>
                </c:pt>
                <c:pt idx="18">
                  <c:v>6.0430313043255399E-2</c:v>
                </c:pt>
                <c:pt idx="19">
                  <c:v>6.1398211924917137E-2</c:v>
                </c:pt>
                <c:pt idx="20">
                  <c:v>6.2433580522081963E-2</c:v>
                </c:pt>
                <c:pt idx="21">
                  <c:v>6.2480226251318674E-2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B-4302-A229-2CDFB3B2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4848"/>
        <c:axId val="1"/>
      </c:scatterChart>
      <c:valAx>
        <c:axId val="5378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27496944561319"/>
          <c:y val="0.92168674698795183"/>
          <c:w val="0.638168419787221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0975609756097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414456686540114"/>
          <c:w val="0.82164634146341464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5-4E7B-B8C1-F1763346C6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5-4E7B-B8C1-F1763346C6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5-4E7B-B8C1-F1763346C6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0.1303359454323072</c:v>
                </c:pt>
                <c:pt idx="15">
                  <c:v>0.13388294543256052</c:v>
                </c:pt>
                <c:pt idx="16">
                  <c:v>0.14047294542979216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-2.2388054640032351E-2</c:v>
                </c:pt>
                <c:pt idx="20">
                  <c:v>-0.1614845545773278</c:v>
                </c:pt>
                <c:pt idx="21">
                  <c:v>5.5987445513892453E-2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5-4E7B-B8C1-F1763346C6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5-4E7B-B8C1-F1763346C6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5-4E7B-B8C1-F1763346C6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5-4E7B-B8C1-F1763346C6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4.2811554742989456E-2</c:v>
                </c:pt>
                <c:pt idx="2">
                  <c:v>4.2819051378045356E-2</c:v>
                </c:pt>
                <c:pt idx="3">
                  <c:v>4.3108921266873483E-2</c:v>
                </c:pt>
                <c:pt idx="4">
                  <c:v>4.5527835511577165E-2</c:v>
                </c:pt>
                <c:pt idx="5">
                  <c:v>4.8389051224578941E-2</c:v>
                </c:pt>
                <c:pt idx="6">
                  <c:v>4.8389051224578941E-2</c:v>
                </c:pt>
                <c:pt idx="7">
                  <c:v>4.8419037764802539E-2</c:v>
                </c:pt>
                <c:pt idx="8">
                  <c:v>4.8434031034914338E-2</c:v>
                </c:pt>
                <c:pt idx="9">
                  <c:v>4.8474013088545806E-2</c:v>
                </c:pt>
                <c:pt idx="10">
                  <c:v>4.8477344926348427E-2</c:v>
                </c:pt>
                <c:pt idx="11">
                  <c:v>5.0409810851869276E-2</c:v>
                </c:pt>
                <c:pt idx="12">
                  <c:v>5.1209451924498592E-2</c:v>
                </c:pt>
                <c:pt idx="13">
                  <c:v>5.309527212078273E-2</c:v>
                </c:pt>
                <c:pt idx="14">
                  <c:v>5.9359127189712375E-2</c:v>
                </c:pt>
                <c:pt idx="15">
                  <c:v>5.9530716836547419E-2</c:v>
                </c:pt>
                <c:pt idx="16">
                  <c:v>5.9547376025560525E-2</c:v>
                </c:pt>
                <c:pt idx="17">
                  <c:v>6.0430313043255399E-2</c:v>
                </c:pt>
                <c:pt idx="18">
                  <c:v>6.0430313043255399E-2</c:v>
                </c:pt>
                <c:pt idx="19">
                  <c:v>6.1398211924917137E-2</c:v>
                </c:pt>
                <c:pt idx="20">
                  <c:v>6.2433580522081963E-2</c:v>
                </c:pt>
                <c:pt idx="21">
                  <c:v>6.2480226251318674E-2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5-4E7B-B8C1-F1763346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5504"/>
        <c:axId val="1"/>
      </c:scatterChart>
      <c:valAx>
        <c:axId val="53784550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1463414634143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47560975609756"/>
          <c:y val="0.92192475940507435"/>
          <c:w val="0.637195121951219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0734587075698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6-4440-A80F-4BB35745AFD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6-4440-A80F-4BB35745AFD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6-4440-A80F-4BB35745AFD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6-4440-A80F-4BB35745AFD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6-4440-A80F-4BB35745AFD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6-4440-A80F-4BB35745AFD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6-4440-A80F-4BB35745AFD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6-4440-A80F-4BB35745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52064"/>
        <c:axId val="1"/>
      </c:scatterChart>
      <c:valAx>
        <c:axId val="537852064"/>
        <c:scaling>
          <c:orientation val="minMax"/>
          <c:max val="1800"/>
          <c:min val="-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5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8044338494384"/>
          <c:y val="0.9204921861831491"/>
          <c:w val="0.7155974539879762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37410646328309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F-42AE-9D73-CA0D519DF5C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AF-42AE-9D73-CA0D519DF5C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AF-42AE-9D73-CA0D519DF5C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AF-42AE-9D73-CA0D519DF5C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AF-42AE-9D73-CA0D519DF5C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AF-42AE-9D73-CA0D519DF5C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AF-42AE-9D73-CA0D519DF5C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AF-42AE-9D73-CA0D519D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70968"/>
        <c:axId val="1"/>
      </c:scatterChart>
      <c:valAx>
        <c:axId val="45827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7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10703051431548"/>
          <c:y val="0.92073298764483702"/>
          <c:w val="0.714504297649816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0</xdr:row>
      <xdr:rowOff>57150</xdr:rowOff>
    </xdr:from>
    <xdr:to>
      <xdr:col>27</xdr:col>
      <xdr:colOff>285750</xdr:colOff>
      <xdr:row>18</xdr:row>
      <xdr:rowOff>66675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916128CD-5B57-5C1E-9EA5-43699EA58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352424</xdr:colOff>
      <xdr:row>0</xdr:row>
      <xdr:rowOff>0</xdr:rowOff>
    </xdr:from>
    <xdr:to>
      <xdr:col>18</xdr:col>
      <xdr:colOff>152399</xdr:colOff>
      <xdr:row>18</xdr:row>
      <xdr:rowOff>38100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CD6658BE-B3C8-896D-A3A9-23031428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F93F131-849A-3A4A-5413-E93568C97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F851D1D-107B-536B-6EF8-E782BDCB8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77" TargetMode="External"/><Relationship Id="rId12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77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77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36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26</v>
      </c>
      <c r="B2" t="s">
        <v>40</v>
      </c>
      <c r="C2" s="36"/>
      <c r="D2" s="37"/>
      <c r="E2" s="38"/>
    </row>
    <row r="3" spans="1:6" ht="12.95" customHeight="1" thickBot="1" x14ac:dyDescent="0.25">
      <c r="C3" s="31"/>
      <c r="D3" s="38"/>
      <c r="E3" s="39" t="s">
        <v>48</v>
      </c>
    </row>
    <row r="4" spans="1:6" ht="12.95" customHeight="1" thickTop="1" thickBot="1" x14ac:dyDescent="0.25">
      <c r="A4" s="5" t="s">
        <v>2</v>
      </c>
      <c r="C4" s="8">
        <v>35799.247000000003</v>
      </c>
      <c r="D4" s="9">
        <v>0.6604565</v>
      </c>
      <c r="E4" s="35" t="s">
        <v>50</v>
      </c>
    </row>
    <row r="5" spans="1:6" ht="12.95" customHeight="1" thickTop="1" x14ac:dyDescent="0.2">
      <c r="A5" s="11" t="s">
        <v>33</v>
      </c>
      <c r="B5" s="12"/>
      <c r="C5" s="13">
        <v>-9.5</v>
      </c>
      <c r="D5" s="12" t="s">
        <v>34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>
        <v>54026.585032054572</v>
      </c>
    </row>
    <row r="8" spans="1:6" ht="12.95" customHeight="1" x14ac:dyDescent="0.2">
      <c r="A8" t="s">
        <v>5</v>
      </c>
      <c r="C8" s="53">
        <v>0.66045100000000001</v>
      </c>
      <c r="D8" t="s">
        <v>1</v>
      </c>
      <c r="E8" s="54" t="s">
        <v>116</v>
      </c>
    </row>
    <row r="9" spans="1:6" ht="12.95" customHeight="1" x14ac:dyDescent="0.2">
      <c r="A9" s="32" t="s">
        <v>45</v>
      </c>
      <c r="B9" s="33">
        <v>32</v>
      </c>
      <c r="C9" s="30" t="str">
        <f>"F"&amp;B9</f>
        <v>F32</v>
      </c>
      <c r="D9" s="31" t="str">
        <f>"G"&amp;B9</f>
        <v>G32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9">
        <f ca="1">INTERCEPT(INDIRECT($D$9):G974,INDIRECT($C$9):F974)</f>
        <v>4.8477344926348427E-2</v>
      </c>
      <c r="D11" s="3"/>
      <c r="E11" s="12"/>
    </row>
    <row r="12" spans="1:6" ht="12.95" customHeight="1" x14ac:dyDescent="0.2">
      <c r="A12" s="12" t="s">
        <v>19</v>
      </c>
      <c r="B12" s="12"/>
      <c r="C12" s="29">
        <f ca="1">SLOPE(INDIRECT($D$9):G974,INDIRECT($C$9):F974)</f>
        <v>1.6659189013110761E-6</v>
      </c>
      <c r="D12" s="3"/>
      <c r="E12" s="12"/>
    </row>
    <row r="13" spans="1:6" ht="12.95" customHeight="1" x14ac:dyDescent="0.2">
      <c r="A13" s="12" t="s">
        <v>21</v>
      </c>
      <c r="B13" s="12"/>
      <c r="C13" s="3" t="s">
        <v>16</v>
      </c>
      <c r="D13" s="3"/>
      <c r="E13" s="12"/>
    </row>
    <row r="14" spans="1:6" ht="12.95" customHeight="1" x14ac:dyDescent="0.2">
      <c r="A14" s="12"/>
      <c r="B14" s="12"/>
      <c r="C14" s="12"/>
      <c r="D14" s="12"/>
      <c r="E14" s="12"/>
    </row>
    <row r="15" spans="1:6" ht="12.95" customHeight="1" x14ac:dyDescent="0.2">
      <c r="A15" s="14" t="s">
        <v>20</v>
      </c>
      <c r="B15" s="12"/>
      <c r="C15" s="15">
        <f ca="1">(C7+C11)+(C8+C12)*INT(MAX(F21:F3515))</f>
        <v>59577.738166447867</v>
      </c>
      <c r="E15" s="16" t="s">
        <v>114</v>
      </c>
      <c r="F15" s="13">
        <v>1</v>
      </c>
    </row>
    <row r="16" spans="1:6" ht="12.95" customHeight="1" x14ac:dyDescent="0.2">
      <c r="A16" s="18" t="s">
        <v>6</v>
      </c>
      <c r="B16" s="12"/>
      <c r="C16" s="19">
        <f ca="1">+C8+C12</f>
        <v>0.66045266591890128</v>
      </c>
      <c r="E16" s="16" t="s">
        <v>35</v>
      </c>
      <c r="F16" s="17">
        <f ca="1">NOW()+15018.5+$C$5/24</f>
        <v>60319.516509027773</v>
      </c>
    </row>
    <row r="17" spans="1:17" ht="12.95" customHeight="1" thickBot="1" x14ac:dyDescent="0.25">
      <c r="A17" s="16" t="s">
        <v>32</v>
      </c>
      <c r="B17" s="12"/>
      <c r="C17" s="12">
        <f>COUNT(C21:C2173)</f>
        <v>22</v>
      </c>
      <c r="E17" s="16" t="s">
        <v>115</v>
      </c>
      <c r="F17" s="17">
        <f ca="1">ROUND(2*(F16-$C$7)/$C$8,0)/2+F15</f>
        <v>9529</v>
      </c>
    </row>
    <row r="18" spans="1:17" ht="12.95" customHeight="1" thickTop="1" thickBot="1" x14ac:dyDescent="0.25">
      <c r="A18" s="18" t="s">
        <v>7</v>
      </c>
      <c r="B18" s="12"/>
      <c r="C18" s="21">
        <f ca="1">+C15</f>
        <v>59577.738166447867</v>
      </c>
      <c r="D18" s="22">
        <f ca="1">+C16</f>
        <v>0.66045266591890128</v>
      </c>
      <c r="E18" s="16" t="s">
        <v>36</v>
      </c>
      <c r="F18" s="31">
        <f ca="1">ROUND(2*(F16-$C$15)/$C$16,0)/2+F15</f>
        <v>1124</v>
      </c>
    </row>
    <row r="19" spans="1:17" ht="12.95" customHeight="1" thickTop="1" x14ac:dyDescent="0.2">
      <c r="E19" s="16" t="s">
        <v>37</v>
      </c>
      <c r="F19" s="20">
        <f ca="1">+$C$15+$C$16*F18-15018.5-$C$5/24</f>
        <v>45301.982796274046</v>
      </c>
    </row>
    <row r="20" spans="1:17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t="s">
        <v>14</v>
      </c>
      <c r="B21" s="3"/>
      <c r="C21" s="10">
        <v>35799.247000000003</v>
      </c>
      <c r="D21" s="10" t="s">
        <v>16</v>
      </c>
      <c r="E21">
        <f t="shared" ref="E21:E42" si="0">+(C21-C$7)/C$8</f>
        <v>-27598.319984456939</v>
      </c>
      <c r="F21">
        <f t="shared" ref="F21:F42" si="1">ROUND(2*E21,0)/2</f>
        <v>-27598.5</v>
      </c>
      <c r="H21">
        <v>0</v>
      </c>
      <c r="Q21" s="2">
        <f t="shared" ref="Q21:Q42" si="2">+C21-15018.5</f>
        <v>20780.747000000003</v>
      </c>
    </row>
    <row r="22" spans="1:17" ht="12.95" customHeight="1" x14ac:dyDescent="0.2">
      <c r="A22" t="s">
        <v>69</v>
      </c>
      <c r="B22" s="3" t="s">
        <v>42</v>
      </c>
      <c r="C22" s="10">
        <v>51780.489699999998</v>
      </c>
      <c r="D22" s="10" t="s">
        <v>62</v>
      </c>
      <c r="E22">
        <f t="shared" si="0"/>
        <v>-3400.8508308028513</v>
      </c>
      <c r="F22">
        <f t="shared" si="1"/>
        <v>-3401</v>
      </c>
      <c r="G22">
        <f t="shared" ref="G22:G42" si="3">+C22-(C$7+F22*C$8)</f>
        <v>9.8518945429532323E-2</v>
      </c>
      <c r="K22">
        <f>+G22</f>
        <v>9.8518945429532323E-2</v>
      </c>
      <c r="O22">
        <f t="shared" ref="O22:O42" ca="1" si="4">+C$11+C$12*$F22</f>
        <v>4.2811554742989456E-2</v>
      </c>
      <c r="Q22" s="2">
        <f t="shared" si="2"/>
        <v>36761.989699999998</v>
      </c>
    </row>
    <row r="23" spans="1:17" ht="12.95" customHeight="1" x14ac:dyDescent="0.2">
      <c r="A23" t="s">
        <v>69</v>
      </c>
      <c r="B23" s="3" t="s">
        <v>43</v>
      </c>
      <c r="C23" s="10">
        <v>51783.328600000001</v>
      </c>
      <c r="D23" s="10" t="s">
        <v>62</v>
      </c>
      <c r="E23">
        <f t="shared" si="0"/>
        <v>-3396.5524044245094</v>
      </c>
      <c r="F23">
        <f t="shared" si="1"/>
        <v>-3396.5</v>
      </c>
      <c r="G23">
        <f t="shared" si="3"/>
        <v>-3.4610554568644147E-2</v>
      </c>
      <c r="K23">
        <f>+G23</f>
        <v>-3.4610554568644147E-2</v>
      </c>
      <c r="O23">
        <f t="shared" ca="1" si="4"/>
        <v>4.2819051378045356E-2</v>
      </c>
      <c r="Q23" s="2">
        <f t="shared" si="2"/>
        <v>36764.828600000001</v>
      </c>
    </row>
    <row r="24" spans="1:17" ht="12.95" customHeight="1" x14ac:dyDescent="0.2">
      <c r="A24" t="s">
        <v>69</v>
      </c>
      <c r="B24" s="3" t="s">
        <v>42</v>
      </c>
      <c r="C24" s="10">
        <v>51898.409800000001</v>
      </c>
      <c r="D24" s="10" t="s">
        <v>62</v>
      </c>
      <c r="E24">
        <f t="shared" si="0"/>
        <v>-3222.3060182429449</v>
      </c>
      <c r="F24">
        <f t="shared" si="1"/>
        <v>-3222.5</v>
      </c>
      <c r="G24">
        <f t="shared" si="3"/>
        <v>0.12811544542637421</v>
      </c>
      <c r="K24">
        <f>+G24</f>
        <v>0.12811544542637421</v>
      </c>
      <c r="O24">
        <f t="shared" ca="1" si="4"/>
        <v>4.3108921266873483E-2</v>
      </c>
      <c r="Q24" s="2">
        <f t="shared" si="2"/>
        <v>36879.909800000001</v>
      </c>
    </row>
    <row r="25" spans="1:17" ht="12.95" customHeight="1" x14ac:dyDescent="0.2">
      <c r="A25" s="55" t="s">
        <v>69</v>
      </c>
      <c r="B25" s="57" t="s">
        <v>42</v>
      </c>
      <c r="C25" s="56">
        <v>52857.402199999997</v>
      </c>
      <c r="D25" s="56" t="s">
        <v>62</v>
      </c>
      <c r="E25">
        <f t="shared" si="0"/>
        <v>-1770.2794485201409</v>
      </c>
      <c r="F25">
        <f t="shared" si="1"/>
        <v>-1770.5</v>
      </c>
      <c r="G25">
        <f t="shared" si="3"/>
        <v>0.14566344542254228</v>
      </c>
      <c r="K25">
        <f>+G25</f>
        <v>0.14566344542254228</v>
      </c>
      <c r="O25">
        <f t="shared" ca="1" si="4"/>
        <v>4.5527835511577165E-2</v>
      </c>
      <c r="Q25" s="2">
        <f t="shared" si="2"/>
        <v>37838.902199999997</v>
      </c>
    </row>
    <row r="26" spans="1:17" ht="12.95" customHeight="1" x14ac:dyDescent="0.2">
      <c r="A26" s="56" t="s">
        <v>49</v>
      </c>
      <c r="B26" s="57" t="s">
        <v>42</v>
      </c>
      <c r="C26" s="58">
        <v>53991.587570000003</v>
      </c>
      <c r="D26" s="58">
        <v>1E-3</v>
      </c>
      <c r="E26">
        <f t="shared" si="0"/>
        <v>-52.990247655873091</v>
      </c>
      <c r="F26">
        <f t="shared" si="1"/>
        <v>-53</v>
      </c>
      <c r="G26">
        <f t="shared" si="3"/>
        <v>6.4409454280394129E-3</v>
      </c>
      <c r="N26" s="31">
        <v>0.16985401720739901</v>
      </c>
      <c r="O26">
        <f t="shared" ca="1" si="4"/>
        <v>4.8389051224578941E-2</v>
      </c>
      <c r="Q26" s="2">
        <f t="shared" si="2"/>
        <v>38973.087570000003</v>
      </c>
    </row>
    <row r="27" spans="1:17" ht="12.95" customHeight="1" x14ac:dyDescent="0.2">
      <c r="A27" s="58" t="s">
        <v>41</v>
      </c>
      <c r="B27" s="59" t="s">
        <v>42</v>
      </c>
      <c r="C27" s="60">
        <v>53991.590100000001</v>
      </c>
      <c r="D27" s="60">
        <v>2.0000000000000001E-4</v>
      </c>
      <c r="E27">
        <f t="shared" si="0"/>
        <v>-52.986416940198602</v>
      </c>
      <c r="F27">
        <f t="shared" si="1"/>
        <v>-53</v>
      </c>
      <c r="G27">
        <f t="shared" si="3"/>
        <v>8.9709454259718768E-3</v>
      </c>
      <c r="K27">
        <f t="shared" ref="K27:K42" si="5">+G27</f>
        <v>8.9709454259718768E-3</v>
      </c>
      <c r="O27">
        <f t="shared" ca="1" si="4"/>
        <v>4.8389051224578941E-2</v>
      </c>
      <c r="Q27" s="2">
        <f t="shared" si="2"/>
        <v>38973.090100000001</v>
      </c>
    </row>
    <row r="28" spans="1:17" ht="12.95" customHeight="1" x14ac:dyDescent="0.2">
      <c r="A28" s="58" t="s">
        <v>41</v>
      </c>
      <c r="B28" s="59" t="s">
        <v>42</v>
      </c>
      <c r="C28" s="60">
        <v>54003.469599999997</v>
      </c>
      <c r="D28" s="60">
        <v>1E-4</v>
      </c>
      <c r="E28">
        <f t="shared" si="0"/>
        <v>-34.999465599379285</v>
      </c>
      <c r="F28">
        <f t="shared" si="1"/>
        <v>-35</v>
      </c>
      <c r="G28">
        <f t="shared" si="3"/>
        <v>3.5294542612973601E-4</v>
      </c>
      <c r="K28">
        <f t="shared" si="5"/>
        <v>3.5294542612973601E-4</v>
      </c>
      <c r="O28">
        <f t="shared" ca="1" si="4"/>
        <v>4.8419037764802539E-2</v>
      </c>
      <c r="Q28" s="2">
        <f t="shared" si="2"/>
        <v>38984.969599999997</v>
      </c>
    </row>
    <row r="29" spans="1:17" ht="12.95" customHeight="1" x14ac:dyDescent="0.2">
      <c r="A29" s="58" t="s">
        <v>41</v>
      </c>
      <c r="B29" s="59" t="s">
        <v>42</v>
      </c>
      <c r="C29" s="60">
        <v>54009.415999999997</v>
      </c>
      <c r="D29" s="60">
        <v>2.0000000000000001E-4</v>
      </c>
      <c r="E29">
        <f t="shared" si="0"/>
        <v>-25.995921051788741</v>
      </c>
      <c r="F29">
        <f t="shared" si="1"/>
        <v>-26</v>
      </c>
      <c r="G29">
        <f t="shared" si="3"/>
        <v>2.6939454255625606E-3</v>
      </c>
      <c r="K29">
        <f t="shared" si="5"/>
        <v>2.6939454255625606E-3</v>
      </c>
      <c r="O29">
        <f t="shared" ca="1" si="4"/>
        <v>4.8434031034914338E-2</v>
      </c>
      <c r="Q29" s="2">
        <f t="shared" si="2"/>
        <v>38990.915999999997</v>
      </c>
    </row>
    <row r="30" spans="1:17" ht="12.95" customHeight="1" x14ac:dyDescent="0.2">
      <c r="A30" s="58" t="s">
        <v>41</v>
      </c>
      <c r="B30" s="59" t="s">
        <v>43</v>
      </c>
      <c r="C30" s="60">
        <v>54025.270799999998</v>
      </c>
      <c r="D30" s="60">
        <v>1E-4</v>
      </c>
      <c r="E30">
        <f t="shared" si="0"/>
        <v>-1.9899009231176112</v>
      </c>
      <c r="F30">
        <f t="shared" si="1"/>
        <v>-2</v>
      </c>
      <c r="G30">
        <f t="shared" si="3"/>
        <v>6.6699454255285673E-3</v>
      </c>
      <c r="K30">
        <f t="shared" si="5"/>
        <v>6.6699454255285673E-3</v>
      </c>
      <c r="O30">
        <f t="shared" ca="1" si="4"/>
        <v>4.8474013088545806E-2</v>
      </c>
      <c r="Q30" s="2">
        <f t="shared" si="2"/>
        <v>39006.770799999998</v>
      </c>
    </row>
    <row r="31" spans="1:17" ht="12.95" customHeight="1" x14ac:dyDescent="0.2">
      <c r="A31" s="58" t="s">
        <v>41</v>
      </c>
      <c r="B31" s="59" t="s">
        <v>42</v>
      </c>
      <c r="C31" s="60">
        <v>54026.580399999999</v>
      </c>
      <c r="D31" s="60">
        <v>1E-4</v>
      </c>
      <c r="E31">
        <f t="shared" si="0"/>
        <v>-7.0134719660487161E-3</v>
      </c>
      <c r="F31">
        <f t="shared" si="1"/>
        <v>0</v>
      </c>
      <c r="G31">
        <f t="shared" si="3"/>
        <v>-4.6320545734488405E-3</v>
      </c>
      <c r="K31">
        <f t="shared" si="5"/>
        <v>-4.6320545734488405E-3</v>
      </c>
      <c r="O31">
        <f t="shared" ca="1" si="4"/>
        <v>4.8477344926348427E-2</v>
      </c>
      <c r="Q31" s="2">
        <f t="shared" si="2"/>
        <v>39008.080399999999</v>
      </c>
    </row>
    <row r="32" spans="1:17" ht="12.95" customHeight="1" x14ac:dyDescent="0.2">
      <c r="A32" s="61" t="s">
        <v>44</v>
      </c>
      <c r="B32" s="57" t="s">
        <v>42</v>
      </c>
      <c r="C32" s="61">
        <v>54792.711000000003</v>
      </c>
      <c r="D32" s="61">
        <v>3.0000000000000001E-3</v>
      </c>
      <c r="E32">
        <f t="shared" si="0"/>
        <v>1160.0042515575426</v>
      </c>
      <c r="F32">
        <f t="shared" si="1"/>
        <v>1160</v>
      </c>
      <c r="G32">
        <f t="shared" si="3"/>
        <v>2.8079454277758487E-3</v>
      </c>
      <c r="K32">
        <f t="shared" si="5"/>
        <v>2.8079454277758487E-3</v>
      </c>
      <c r="O32">
        <f t="shared" ca="1" si="4"/>
        <v>5.0409810851869276E-2</v>
      </c>
      <c r="Q32" s="2">
        <f t="shared" si="2"/>
        <v>39774.211000000003</v>
      </c>
    </row>
    <row r="33" spans="1:17" ht="12.95" customHeight="1" x14ac:dyDescent="0.2">
      <c r="A33" s="62" t="s">
        <v>51</v>
      </c>
      <c r="B33" s="57"/>
      <c r="C33" s="56">
        <v>55109.745000000003</v>
      </c>
      <c r="D33" s="56">
        <v>1E-3</v>
      </c>
      <c r="E33">
        <f t="shared" si="0"/>
        <v>1640.0307788850805</v>
      </c>
      <c r="F33">
        <f t="shared" si="1"/>
        <v>1640</v>
      </c>
      <c r="G33">
        <f t="shared" si="3"/>
        <v>2.0327945429016836E-2</v>
      </c>
      <c r="K33">
        <f t="shared" si="5"/>
        <v>2.0327945429016836E-2</v>
      </c>
      <c r="O33">
        <f t="shared" ca="1" si="4"/>
        <v>5.1209451924498592E-2</v>
      </c>
      <c r="Q33" s="2">
        <f t="shared" si="2"/>
        <v>40091.245000000003</v>
      </c>
    </row>
    <row r="34" spans="1:17" ht="12.95" customHeight="1" x14ac:dyDescent="0.2">
      <c r="A34" s="55" t="s">
        <v>113</v>
      </c>
      <c r="B34" s="57" t="s">
        <v>42</v>
      </c>
      <c r="C34" s="56">
        <v>55857.408900000002</v>
      </c>
      <c r="D34" s="56" t="s">
        <v>62</v>
      </c>
      <c r="E34">
        <f t="shared" si="0"/>
        <v>2772.081301936752</v>
      </c>
      <c r="F34">
        <f t="shared" si="1"/>
        <v>2772</v>
      </c>
      <c r="G34">
        <f t="shared" si="3"/>
        <v>5.3695945432991721E-2</v>
      </c>
      <c r="K34">
        <f t="shared" si="5"/>
        <v>5.3695945432991721E-2</v>
      </c>
      <c r="O34">
        <f t="shared" ca="1" si="4"/>
        <v>5.309527212078273E-2</v>
      </c>
      <c r="Q34" s="2">
        <f t="shared" si="2"/>
        <v>40838.908900000002</v>
      </c>
    </row>
    <row r="35" spans="1:17" ht="12.95" customHeight="1" x14ac:dyDescent="0.2">
      <c r="A35" s="65" t="s">
        <v>117</v>
      </c>
      <c r="B35" s="28" t="s">
        <v>42</v>
      </c>
      <c r="C35" s="66">
        <v>58340.781300000002</v>
      </c>
      <c r="D35" s="66">
        <v>2.9999999999999997E-4</v>
      </c>
      <c r="E35">
        <f t="shared" si="0"/>
        <v>6532.1973438535633</v>
      </c>
      <c r="F35">
        <f t="shared" si="1"/>
        <v>6532</v>
      </c>
      <c r="G35">
        <f t="shared" si="3"/>
        <v>0.1303359454323072</v>
      </c>
      <c r="K35">
        <f t="shared" si="5"/>
        <v>0.1303359454323072</v>
      </c>
      <c r="O35">
        <f t="shared" ca="1" si="4"/>
        <v>5.9359127189712375E-2</v>
      </c>
      <c r="Q35" s="2">
        <f t="shared" si="2"/>
        <v>43322.281300000002</v>
      </c>
    </row>
    <row r="36" spans="1:17" ht="12.95" customHeight="1" x14ac:dyDescent="0.2">
      <c r="A36" s="63" t="s">
        <v>0</v>
      </c>
      <c r="B36" s="64" t="s">
        <v>42</v>
      </c>
      <c r="C36" s="63">
        <v>58408.811300000001</v>
      </c>
      <c r="D36" s="63">
        <v>2.0000000000000001E-4</v>
      </c>
      <c r="E36">
        <f t="shared" si="0"/>
        <v>6635.2027144260946</v>
      </c>
      <c r="F36">
        <f t="shared" si="1"/>
        <v>6635</v>
      </c>
      <c r="G36">
        <f t="shared" si="3"/>
        <v>0.13388294543256052</v>
      </c>
      <c r="K36">
        <f t="shared" si="5"/>
        <v>0.13388294543256052</v>
      </c>
      <c r="O36">
        <f t="shared" ca="1" si="4"/>
        <v>5.9530716836547419E-2</v>
      </c>
      <c r="Q36" s="2">
        <f t="shared" si="2"/>
        <v>43390.311300000001</v>
      </c>
    </row>
    <row r="37" spans="1:17" ht="12.95" customHeight="1" x14ac:dyDescent="0.2">
      <c r="A37" s="63" t="s">
        <v>0</v>
      </c>
      <c r="B37" s="64" t="s">
        <v>42</v>
      </c>
      <c r="C37" s="63">
        <v>58415.422400000003</v>
      </c>
      <c r="D37" s="63">
        <v>2.9999999999999997E-4</v>
      </c>
      <c r="E37">
        <f t="shared" si="0"/>
        <v>6645.2126924562617</v>
      </c>
      <c r="F37">
        <f t="shared" si="1"/>
        <v>6645</v>
      </c>
      <c r="G37">
        <f t="shared" si="3"/>
        <v>0.14047294542979216</v>
      </c>
      <c r="K37">
        <f t="shared" si="5"/>
        <v>0.14047294542979216</v>
      </c>
      <c r="O37">
        <f t="shared" ca="1" si="4"/>
        <v>5.9547376025560525E-2</v>
      </c>
      <c r="Q37" s="2">
        <f t="shared" si="2"/>
        <v>43396.922400000003</v>
      </c>
    </row>
    <row r="38" spans="1:17" ht="12.95" customHeight="1" x14ac:dyDescent="0.2">
      <c r="A38" s="67" t="s">
        <v>118</v>
      </c>
      <c r="B38" s="68" t="s">
        <v>42</v>
      </c>
      <c r="C38" s="69">
        <v>58765.4643</v>
      </c>
      <c r="D38" s="69">
        <v>2.9999999999999997E-4</v>
      </c>
      <c r="E38">
        <f t="shared" si="0"/>
        <v>7175.2170379716699</v>
      </c>
      <c r="F38">
        <f t="shared" si="1"/>
        <v>7175</v>
      </c>
      <c r="G38">
        <f t="shared" si="3"/>
        <v>0.14334294542641146</v>
      </c>
      <c r="K38">
        <f t="shared" si="5"/>
        <v>0.14334294542641146</v>
      </c>
      <c r="O38">
        <f t="shared" ca="1" si="4"/>
        <v>6.0430313043255399E-2</v>
      </c>
      <c r="Q38" s="2">
        <f t="shared" si="2"/>
        <v>43746.9643</v>
      </c>
    </row>
    <row r="39" spans="1:17" ht="12.95" customHeight="1" x14ac:dyDescent="0.2">
      <c r="A39" s="70" t="s">
        <v>119</v>
      </c>
      <c r="B39" s="71" t="s">
        <v>42</v>
      </c>
      <c r="C39" s="74">
        <v>58765.4643</v>
      </c>
      <c r="D39" s="70">
        <v>2.9999999999999997E-4</v>
      </c>
      <c r="E39">
        <f t="shared" si="0"/>
        <v>7175.2170379716699</v>
      </c>
      <c r="F39">
        <f t="shared" si="1"/>
        <v>7175</v>
      </c>
      <c r="G39">
        <f t="shared" si="3"/>
        <v>0.14334294542641146</v>
      </c>
      <c r="K39">
        <f t="shared" si="5"/>
        <v>0.14334294542641146</v>
      </c>
      <c r="O39">
        <f t="shared" ca="1" si="4"/>
        <v>6.0430313043255399E-2</v>
      </c>
      <c r="Q39" s="2">
        <f t="shared" si="2"/>
        <v>43746.9643</v>
      </c>
    </row>
    <row r="40" spans="1:17" ht="12.95" customHeight="1" x14ac:dyDescent="0.2">
      <c r="A40" s="72" t="s">
        <v>121</v>
      </c>
      <c r="B40" s="73" t="s">
        <v>42</v>
      </c>
      <c r="C40" s="75">
        <v>59149.020599999931</v>
      </c>
      <c r="D40" s="10"/>
      <c r="E40">
        <f t="shared" si="0"/>
        <v>7755.9661018688112</v>
      </c>
      <c r="F40">
        <f t="shared" si="1"/>
        <v>7756</v>
      </c>
      <c r="G40">
        <f t="shared" si="3"/>
        <v>-2.2388054640032351E-2</v>
      </c>
      <c r="K40">
        <f t="shared" si="5"/>
        <v>-2.2388054640032351E-2</v>
      </c>
      <c r="O40">
        <f t="shared" ca="1" si="4"/>
        <v>6.1398211924917137E-2</v>
      </c>
      <c r="Q40" s="2">
        <f t="shared" si="2"/>
        <v>44130.520599999931</v>
      </c>
    </row>
    <row r="41" spans="1:17" ht="12.95" customHeight="1" x14ac:dyDescent="0.2">
      <c r="A41" s="70" t="s">
        <v>120</v>
      </c>
      <c r="B41" s="71" t="s">
        <v>42</v>
      </c>
      <c r="C41" s="74">
        <v>59559.351799999997</v>
      </c>
      <c r="D41" s="70">
        <v>4.0000000000000002E-4</v>
      </c>
      <c r="E41">
        <f t="shared" si="0"/>
        <v>8377.2554935118951</v>
      </c>
      <c r="F41">
        <f t="shared" si="1"/>
        <v>8377.5</v>
      </c>
      <c r="G41">
        <f t="shared" si="3"/>
        <v>-0.1614845545773278</v>
      </c>
      <c r="K41">
        <f t="shared" si="5"/>
        <v>-0.1614845545773278</v>
      </c>
      <c r="O41">
        <f t="shared" ca="1" si="4"/>
        <v>6.2433580522081963E-2</v>
      </c>
      <c r="Q41" s="2">
        <f t="shared" si="2"/>
        <v>44540.851799999997</v>
      </c>
    </row>
    <row r="42" spans="1:17" ht="12.95" customHeight="1" x14ac:dyDescent="0.2">
      <c r="A42" s="72" t="s">
        <v>121</v>
      </c>
      <c r="B42" s="73" t="s">
        <v>43</v>
      </c>
      <c r="C42" s="75">
        <v>59578.061900000088</v>
      </c>
      <c r="D42" s="10"/>
      <c r="E42">
        <f t="shared" si="0"/>
        <v>8405.5847715356867</v>
      </c>
      <c r="F42">
        <f t="shared" si="1"/>
        <v>8405.5</v>
      </c>
      <c r="G42">
        <f t="shared" si="3"/>
        <v>5.5987445513892453E-2</v>
      </c>
      <c r="K42">
        <f t="shared" si="5"/>
        <v>5.5987445513892453E-2</v>
      </c>
      <c r="O42">
        <f t="shared" ca="1" si="4"/>
        <v>6.2480226251318674E-2</v>
      </c>
      <c r="Q42" s="2">
        <f t="shared" si="2"/>
        <v>44559.561900000088</v>
      </c>
    </row>
    <row r="43" spans="1:17" ht="12.95" customHeight="1" x14ac:dyDescent="0.2">
      <c r="B43" s="3"/>
      <c r="C43" s="10"/>
      <c r="D43" s="10"/>
    </row>
    <row r="44" spans="1:17" ht="12.95" customHeight="1" x14ac:dyDescent="0.2">
      <c r="B44" s="3"/>
      <c r="C44" s="10"/>
      <c r="D44" s="10"/>
    </row>
    <row r="45" spans="1:17" ht="12.95" customHeight="1" x14ac:dyDescent="0.2">
      <c r="B45" s="3"/>
      <c r="C45" s="10"/>
      <c r="D45" s="10"/>
    </row>
    <row r="46" spans="1:17" ht="12.95" customHeight="1" x14ac:dyDescent="0.2">
      <c r="B46" s="3"/>
      <c r="C46" s="10"/>
      <c r="D46" s="10"/>
    </row>
    <row r="47" spans="1:17" ht="12.95" customHeight="1" x14ac:dyDescent="0.2">
      <c r="B47" s="3"/>
      <c r="C47" s="10"/>
      <c r="D47" s="10"/>
    </row>
    <row r="48" spans="1:17" ht="12.95" customHeight="1" x14ac:dyDescent="0.2">
      <c r="B48" s="3"/>
      <c r="C48" s="10"/>
      <c r="D48" s="10"/>
    </row>
    <row r="49" spans="2:4" ht="12.95" customHeight="1" x14ac:dyDescent="0.2">
      <c r="B49" s="3"/>
      <c r="C49" s="10"/>
      <c r="D49" s="10"/>
    </row>
    <row r="50" spans="2:4" ht="12.95" customHeight="1" x14ac:dyDescent="0.2">
      <c r="B50" s="3"/>
      <c r="C50" s="10"/>
      <c r="D50" s="10"/>
    </row>
    <row r="51" spans="2:4" ht="12.95" customHeight="1" x14ac:dyDescent="0.2">
      <c r="B51" s="3"/>
      <c r="C51" s="10"/>
      <c r="D51" s="10"/>
    </row>
    <row r="52" spans="2:4" ht="12.95" customHeight="1" x14ac:dyDescent="0.2">
      <c r="B52" s="3"/>
      <c r="C52" s="10"/>
      <c r="D52" s="10"/>
    </row>
    <row r="53" spans="2:4" ht="12.95" customHeight="1" x14ac:dyDescent="0.2">
      <c r="B53" s="3"/>
      <c r="C53" s="10"/>
      <c r="D53" s="10"/>
    </row>
    <row r="54" spans="2:4" ht="12.95" customHeight="1" x14ac:dyDescent="0.2">
      <c r="B54" s="3"/>
      <c r="C54" s="10"/>
      <c r="D54" s="10"/>
    </row>
    <row r="55" spans="2:4" ht="12.95" customHeight="1" x14ac:dyDescent="0.2">
      <c r="B55" s="3"/>
      <c r="C55" s="10"/>
      <c r="D55" s="10"/>
    </row>
    <row r="56" spans="2:4" ht="12.95" customHeight="1" x14ac:dyDescent="0.2">
      <c r="B56" s="3"/>
      <c r="C56" s="10"/>
      <c r="D56" s="10"/>
    </row>
    <row r="57" spans="2:4" ht="12.95" customHeight="1" x14ac:dyDescent="0.2">
      <c r="B57" s="3"/>
      <c r="C57" s="10"/>
      <c r="D57" s="10"/>
    </row>
    <row r="58" spans="2:4" ht="12.95" customHeight="1" x14ac:dyDescent="0.2">
      <c r="B58" s="3"/>
      <c r="C58" s="10"/>
      <c r="D58" s="10"/>
    </row>
    <row r="59" spans="2:4" ht="12.95" customHeight="1" x14ac:dyDescent="0.2">
      <c r="B59" s="3"/>
      <c r="C59" s="10"/>
      <c r="D59" s="10"/>
    </row>
    <row r="60" spans="2:4" ht="12.95" customHeight="1" x14ac:dyDescent="0.2">
      <c r="B60" s="3"/>
      <c r="C60" s="10"/>
      <c r="D60" s="10"/>
    </row>
    <row r="61" spans="2:4" ht="12.95" customHeight="1" x14ac:dyDescent="0.2">
      <c r="B61" s="3"/>
      <c r="C61" s="10"/>
      <c r="D61" s="10"/>
    </row>
    <row r="62" spans="2:4" ht="12.95" customHeight="1" x14ac:dyDescent="0.2">
      <c r="B62" s="3"/>
      <c r="C62" s="10"/>
      <c r="D62" s="10"/>
    </row>
    <row r="63" spans="2:4" ht="12.95" customHeight="1" x14ac:dyDescent="0.2">
      <c r="B63" s="3"/>
      <c r="C63" s="10"/>
      <c r="D63" s="10"/>
    </row>
    <row r="64" spans="2:4" ht="12.95" customHeight="1" x14ac:dyDescent="0.2">
      <c r="B64" s="3"/>
      <c r="C64" s="10"/>
      <c r="D64" s="10"/>
    </row>
    <row r="65" spans="2:4" ht="12.95" customHeight="1" x14ac:dyDescent="0.2">
      <c r="B65" s="3"/>
      <c r="C65" s="10"/>
      <c r="D65" s="10"/>
    </row>
    <row r="66" spans="2:4" ht="12.95" customHeight="1" x14ac:dyDescent="0.2">
      <c r="B66" s="3"/>
      <c r="C66" s="10"/>
      <c r="D66" s="10"/>
    </row>
    <row r="67" spans="2:4" ht="12.95" customHeight="1" x14ac:dyDescent="0.2">
      <c r="B67" s="3"/>
      <c r="C67" s="10"/>
      <c r="D67" s="10"/>
    </row>
    <row r="68" spans="2:4" ht="12.95" customHeight="1" x14ac:dyDescent="0.2">
      <c r="B68" s="3"/>
      <c r="C68" s="10"/>
      <c r="D68" s="10"/>
    </row>
    <row r="69" spans="2:4" ht="12.95" customHeight="1" x14ac:dyDescent="0.2">
      <c r="B69" s="3"/>
      <c r="C69" s="10"/>
      <c r="D69" s="10"/>
    </row>
    <row r="70" spans="2:4" ht="12.95" customHeight="1" x14ac:dyDescent="0.2">
      <c r="B70" s="3"/>
      <c r="C70" s="10"/>
      <c r="D70" s="10"/>
    </row>
    <row r="71" spans="2:4" ht="12.95" customHeight="1" x14ac:dyDescent="0.2">
      <c r="B71" s="3"/>
      <c r="C71" s="10"/>
      <c r="D71" s="10"/>
    </row>
    <row r="72" spans="2:4" ht="12.95" customHeight="1" x14ac:dyDescent="0.2">
      <c r="B72" s="3"/>
      <c r="C72" s="10"/>
      <c r="D72" s="10"/>
    </row>
    <row r="73" spans="2:4" ht="12.95" customHeight="1" x14ac:dyDescent="0.2">
      <c r="B73" s="3"/>
      <c r="C73" s="10"/>
      <c r="D73" s="10"/>
    </row>
    <row r="74" spans="2:4" ht="12.95" customHeight="1" x14ac:dyDescent="0.2">
      <c r="B74" s="3"/>
      <c r="C74" s="10"/>
      <c r="D74" s="10"/>
    </row>
    <row r="75" spans="2:4" ht="12.95" customHeight="1" x14ac:dyDescent="0.2">
      <c r="B75" s="3"/>
      <c r="C75" s="10"/>
      <c r="D75" s="10"/>
    </row>
    <row r="76" spans="2:4" ht="12.95" customHeight="1" x14ac:dyDescent="0.2">
      <c r="B76" s="3"/>
      <c r="C76" s="10"/>
      <c r="D76" s="10"/>
    </row>
    <row r="77" spans="2:4" ht="12.95" customHeight="1" x14ac:dyDescent="0.2">
      <c r="B77" s="3"/>
      <c r="C77" s="10"/>
      <c r="D77" s="10"/>
    </row>
    <row r="78" spans="2:4" ht="12.95" customHeight="1" x14ac:dyDescent="0.2">
      <c r="B78" s="3"/>
      <c r="C78" s="10"/>
      <c r="D78" s="10"/>
    </row>
    <row r="79" spans="2:4" ht="12.95" customHeight="1" x14ac:dyDescent="0.2">
      <c r="B79" s="3"/>
      <c r="C79" s="10"/>
      <c r="D79" s="10"/>
    </row>
    <row r="80" spans="2:4" ht="12.95" customHeight="1" x14ac:dyDescent="0.2">
      <c r="B80" s="3"/>
      <c r="C80" s="10"/>
      <c r="D80" s="10"/>
    </row>
    <row r="81" spans="2:4" ht="12.95" customHeight="1" x14ac:dyDescent="0.2">
      <c r="B81" s="3"/>
      <c r="C81" s="10"/>
      <c r="D81" s="10"/>
    </row>
    <row r="82" spans="2:4" ht="12.95" customHeight="1" x14ac:dyDescent="0.2">
      <c r="B82" s="3"/>
      <c r="C82" s="10"/>
      <c r="D82" s="10"/>
    </row>
    <row r="83" spans="2:4" ht="12.95" customHeight="1" x14ac:dyDescent="0.2">
      <c r="B83" s="3"/>
      <c r="C83" s="10"/>
      <c r="D83" s="10"/>
    </row>
    <row r="84" spans="2:4" ht="12.95" customHeight="1" x14ac:dyDescent="0.2">
      <c r="B84" s="3"/>
      <c r="C84" s="10"/>
      <c r="D84" s="10"/>
    </row>
    <row r="85" spans="2:4" ht="12.95" customHeight="1" x14ac:dyDescent="0.2">
      <c r="B85" s="3"/>
      <c r="C85" s="10"/>
      <c r="D85" s="10"/>
    </row>
    <row r="86" spans="2:4" ht="12.95" customHeight="1" x14ac:dyDescent="0.2">
      <c r="B86" s="3"/>
      <c r="C86" s="10"/>
      <c r="D86" s="10"/>
    </row>
    <row r="87" spans="2:4" ht="12.95" customHeight="1" x14ac:dyDescent="0.2">
      <c r="B87" s="3"/>
      <c r="C87" s="10"/>
      <c r="D87" s="10"/>
    </row>
    <row r="88" spans="2:4" ht="12.95" customHeight="1" x14ac:dyDescent="0.2">
      <c r="B88" s="3"/>
      <c r="C88" s="10"/>
      <c r="D88" s="10"/>
    </row>
    <row r="89" spans="2:4" ht="12.95" customHeight="1" x14ac:dyDescent="0.2">
      <c r="B89" s="3"/>
      <c r="C89" s="10"/>
      <c r="D89" s="10"/>
    </row>
    <row r="90" spans="2:4" ht="12.95" customHeight="1" x14ac:dyDescent="0.2">
      <c r="B90" s="3"/>
      <c r="C90" s="10"/>
      <c r="D90" s="10"/>
    </row>
    <row r="91" spans="2:4" ht="12.95" customHeight="1" x14ac:dyDescent="0.2">
      <c r="B91" s="3"/>
      <c r="C91" s="10"/>
      <c r="D91" s="10"/>
    </row>
    <row r="92" spans="2:4" ht="12.95" customHeight="1" x14ac:dyDescent="0.2">
      <c r="B92" s="3"/>
      <c r="C92" s="10"/>
      <c r="D92" s="10"/>
    </row>
    <row r="93" spans="2:4" ht="12.95" customHeight="1" x14ac:dyDescent="0.2">
      <c r="B93" s="3"/>
      <c r="C93" s="10"/>
      <c r="D93" s="10"/>
    </row>
    <row r="94" spans="2:4" ht="12.95" customHeight="1" x14ac:dyDescent="0.2">
      <c r="B94" s="3"/>
      <c r="C94" s="10"/>
      <c r="D94" s="10"/>
    </row>
    <row r="95" spans="2:4" ht="12.95" customHeight="1" x14ac:dyDescent="0.2">
      <c r="B95" s="3"/>
      <c r="C95" s="10"/>
      <c r="D95" s="10"/>
    </row>
    <row r="96" spans="2:4" ht="12.95" customHeight="1" x14ac:dyDescent="0.2">
      <c r="B96" s="3"/>
      <c r="C96" s="10"/>
      <c r="D96" s="10"/>
    </row>
    <row r="97" spans="2:4" ht="12.95" customHeight="1" x14ac:dyDescent="0.2">
      <c r="B97" s="3"/>
      <c r="C97" s="10"/>
      <c r="D97" s="10"/>
    </row>
    <row r="98" spans="2:4" ht="12.95" customHeight="1" x14ac:dyDescent="0.2">
      <c r="B98" s="3"/>
      <c r="C98" s="10"/>
      <c r="D98" s="10"/>
    </row>
    <row r="99" spans="2:4" ht="12.95" customHeight="1" x14ac:dyDescent="0.2">
      <c r="B99" s="3"/>
      <c r="C99" s="10"/>
      <c r="D99" s="10"/>
    </row>
    <row r="100" spans="2:4" ht="12.95" customHeight="1" x14ac:dyDescent="0.2">
      <c r="B100" s="3"/>
      <c r="C100" s="10"/>
      <c r="D100" s="10"/>
    </row>
    <row r="101" spans="2:4" ht="12.95" customHeight="1" x14ac:dyDescent="0.2">
      <c r="B101" s="3"/>
      <c r="C101" s="10"/>
      <c r="D101" s="10"/>
    </row>
    <row r="102" spans="2:4" ht="12.95" customHeight="1" x14ac:dyDescent="0.2">
      <c r="B102" s="3"/>
      <c r="C102" s="10"/>
      <c r="D102" s="10"/>
    </row>
    <row r="103" spans="2:4" ht="12.95" customHeight="1" x14ac:dyDescent="0.2">
      <c r="B103" s="3"/>
      <c r="C103" s="10"/>
      <c r="D103" s="10"/>
    </row>
    <row r="104" spans="2:4" ht="12.95" customHeight="1" x14ac:dyDescent="0.2">
      <c r="B104" s="3"/>
      <c r="C104" s="10"/>
      <c r="D104" s="10"/>
    </row>
    <row r="105" spans="2:4" ht="12.95" customHeight="1" x14ac:dyDescent="0.2">
      <c r="B105" s="3"/>
      <c r="C105" s="10"/>
      <c r="D105" s="10"/>
    </row>
    <row r="106" spans="2:4" ht="12.95" customHeight="1" x14ac:dyDescent="0.2">
      <c r="B106" s="3"/>
      <c r="C106" s="10"/>
      <c r="D106" s="10"/>
    </row>
    <row r="107" spans="2:4" ht="12.95" customHeight="1" x14ac:dyDescent="0.2">
      <c r="B107" s="3"/>
      <c r="C107" s="10"/>
      <c r="D107" s="10"/>
    </row>
    <row r="108" spans="2:4" ht="12.95" customHeight="1" x14ac:dyDescent="0.2">
      <c r="B108" s="3"/>
      <c r="C108" s="10"/>
      <c r="D108" s="10"/>
    </row>
    <row r="109" spans="2:4" ht="12.95" customHeight="1" x14ac:dyDescent="0.2">
      <c r="B109" s="3"/>
      <c r="C109" s="10"/>
      <c r="D109" s="10"/>
    </row>
    <row r="110" spans="2:4" ht="12.95" customHeight="1" x14ac:dyDescent="0.2">
      <c r="B110" s="3"/>
      <c r="C110" s="10"/>
      <c r="D110" s="10"/>
    </row>
    <row r="111" spans="2:4" ht="12.95" customHeight="1" x14ac:dyDescent="0.2">
      <c r="B111" s="3"/>
      <c r="C111" s="10"/>
      <c r="D111" s="10"/>
    </row>
    <row r="112" spans="2:4" ht="12.95" customHeight="1" x14ac:dyDescent="0.2">
      <c r="B112" s="3"/>
      <c r="C112" s="10"/>
      <c r="D112" s="10"/>
    </row>
    <row r="113" spans="2:4" ht="12.95" customHeight="1" x14ac:dyDescent="0.2">
      <c r="B113" s="3"/>
      <c r="C113" s="10"/>
      <c r="D113" s="10"/>
    </row>
    <row r="114" spans="2:4" ht="12.95" customHeight="1" x14ac:dyDescent="0.2">
      <c r="B114" s="3"/>
      <c r="C114" s="10"/>
      <c r="D114" s="10"/>
    </row>
    <row r="115" spans="2:4" ht="12.95" customHeight="1" x14ac:dyDescent="0.2">
      <c r="B115" s="3"/>
      <c r="C115" s="10"/>
      <c r="D115" s="10"/>
    </row>
    <row r="116" spans="2:4" ht="12.95" customHeight="1" x14ac:dyDescent="0.2">
      <c r="B116" s="3"/>
      <c r="C116" s="10"/>
      <c r="D116" s="10"/>
    </row>
    <row r="117" spans="2:4" ht="12.95" customHeight="1" x14ac:dyDescent="0.2">
      <c r="B117" s="3"/>
      <c r="C117" s="10"/>
      <c r="D117" s="10"/>
    </row>
    <row r="118" spans="2:4" ht="12.95" customHeight="1" x14ac:dyDescent="0.2">
      <c r="B118" s="3"/>
      <c r="C118" s="10"/>
      <c r="D118" s="10"/>
    </row>
    <row r="119" spans="2:4" ht="12.95" customHeight="1" x14ac:dyDescent="0.2">
      <c r="B119" s="3"/>
      <c r="C119" s="10"/>
      <c r="D119" s="10"/>
    </row>
    <row r="120" spans="2:4" ht="12.95" customHeight="1" x14ac:dyDescent="0.2">
      <c r="B120" s="3"/>
      <c r="C120" s="10"/>
      <c r="D120" s="10"/>
    </row>
    <row r="121" spans="2:4" ht="12.95" customHeight="1" x14ac:dyDescent="0.2">
      <c r="B121" s="3"/>
      <c r="C121" s="10"/>
      <c r="D121" s="10"/>
    </row>
    <row r="122" spans="2:4" ht="12.95" customHeight="1" x14ac:dyDescent="0.2">
      <c r="B122" s="3"/>
      <c r="C122" s="10"/>
      <c r="D122" s="10"/>
    </row>
    <row r="123" spans="2:4" ht="12.95" customHeight="1" x14ac:dyDescent="0.2">
      <c r="B123" s="3"/>
      <c r="C123" s="10"/>
      <c r="D123" s="10"/>
    </row>
    <row r="124" spans="2:4" ht="12.95" customHeight="1" x14ac:dyDescent="0.2">
      <c r="B124" s="3"/>
      <c r="C124" s="10"/>
      <c r="D124" s="10"/>
    </row>
    <row r="125" spans="2:4" ht="12.95" customHeight="1" x14ac:dyDescent="0.2">
      <c r="B125" s="3"/>
      <c r="C125" s="10"/>
      <c r="D125" s="10"/>
    </row>
    <row r="126" spans="2:4" ht="12.95" customHeight="1" x14ac:dyDescent="0.2">
      <c r="B126" s="3"/>
      <c r="C126" s="10"/>
      <c r="D126" s="10"/>
    </row>
    <row r="127" spans="2:4" ht="12.95" customHeight="1" x14ac:dyDescent="0.2">
      <c r="B127" s="3"/>
      <c r="C127" s="10"/>
      <c r="D127" s="10"/>
    </row>
    <row r="128" spans="2:4" ht="12.95" customHeight="1" x14ac:dyDescent="0.2">
      <c r="B128" s="3"/>
      <c r="C128" s="10"/>
      <c r="D128" s="10"/>
    </row>
    <row r="129" spans="2:4" ht="12.95" customHeight="1" x14ac:dyDescent="0.2">
      <c r="B129" s="3"/>
      <c r="C129" s="10"/>
      <c r="D129" s="10"/>
    </row>
    <row r="130" spans="2:4" ht="12.95" customHeight="1" x14ac:dyDescent="0.2">
      <c r="B130" s="3"/>
      <c r="C130" s="10"/>
      <c r="D130" s="10"/>
    </row>
    <row r="131" spans="2:4" ht="12.95" customHeight="1" x14ac:dyDescent="0.2">
      <c r="B131" s="3"/>
      <c r="C131" s="10"/>
      <c r="D131" s="10"/>
    </row>
    <row r="132" spans="2:4" ht="12.95" customHeight="1" x14ac:dyDescent="0.2">
      <c r="C132" s="10"/>
      <c r="D132" s="10"/>
    </row>
    <row r="133" spans="2:4" ht="12.95" customHeight="1" x14ac:dyDescent="0.2">
      <c r="C133" s="10"/>
      <c r="D133" s="10"/>
    </row>
    <row r="134" spans="2:4" ht="12.95" customHeight="1" x14ac:dyDescent="0.2">
      <c r="C134" s="10"/>
      <c r="D134" s="10"/>
    </row>
    <row r="135" spans="2:4" ht="12.95" customHeight="1" x14ac:dyDescent="0.2">
      <c r="C135" s="10"/>
      <c r="D135" s="10"/>
    </row>
    <row r="136" spans="2:4" ht="12.95" customHeight="1" x14ac:dyDescent="0.2">
      <c r="C136" s="10"/>
      <c r="D136" s="10"/>
    </row>
    <row r="137" spans="2:4" ht="12.95" customHeight="1" x14ac:dyDescent="0.2">
      <c r="C137" s="10"/>
      <c r="D137" s="10"/>
    </row>
    <row r="138" spans="2:4" ht="12.95" customHeight="1" x14ac:dyDescent="0.2">
      <c r="C138" s="10"/>
      <c r="D138" s="10"/>
    </row>
    <row r="139" spans="2:4" ht="12.95" customHeight="1" x14ac:dyDescent="0.2">
      <c r="C139" s="10"/>
      <c r="D139" s="10"/>
    </row>
    <row r="140" spans="2:4" ht="12.95" customHeight="1" x14ac:dyDescent="0.2">
      <c r="C140" s="10"/>
      <c r="D140" s="10"/>
    </row>
    <row r="141" spans="2:4" ht="12.95" customHeight="1" x14ac:dyDescent="0.2">
      <c r="C141" s="10"/>
      <c r="D141" s="10"/>
    </row>
    <row r="142" spans="2:4" ht="12.95" customHeight="1" x14ac:dyDescent="0.2">
      <c r="C142" s="10"/>
      <c r="D142" s="10"/>
    </row>
    <row r="143" spans="2:4" ht="12.95" customHeight="1" x14ac:dyDescent="0.2">
      <c r="C143" s="10"/>
      <c r="D143" s="10"/>
    </row>
    <row r="144" spans="2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37:D38" name="Range1"/>
  </protectedRanges>
  <sortState xmlns:xlrd2="http://schemas.microsoft.com/office/spreadsheetml/2017/richdata2" ref="A21:T49">
    <sortCondition ref="C21:C49"/>
  </sortState>
  <phoneticPr fontId="7" type="noConversion"/>
  <hyperlinks>
    <hyperlink ref="H64957" r:id="rId1" display="http://vsolj.cetus-net.org/bulletin.html" xr:uid="{00000000-0004-0000-0000-000000000000}"/>
    <hyperlink ref="H64950" r:id="rId2" display="https://www.aavso.org/ejaavso" xr:uid="{00000000-0004-0000-0000-000001000000}"/>
    <hyperlink ref="I64957" r:id="rId3" display="http://vsolj.cetus-net.org/bulletin.html" xr:uid="{00000000-0004-0000-0000-000002000000}"/>
    <hyperlink ref="AQ58607" r:id="rId4" display="http://cdsbib.u-strasbg.fr/cgi-bin/cdsbib?1990RMxAA..21..381G" xr:uid="{00000000-0004-0000-0000-000003000000}"/>
    <hyperlink ref="H64954" r:id="rId5" display="https://www.aavso.org/ejaavso" xr:uid="{00000000-0004-0000-0000-000004000000}"/>
    <hyperlink ref="AP5971" r:id="rId6" display="http://cdsbib.u-strasbg.fr/cgi-bin/cdsbib?1990RMxAA..21..381G" xr:uid="{00000000-0004-0000-0000-000005000000}"/>
    <hyperlink ref="AP5974" r:id="rId7" display="http://cdsbib.u-strasbg.fr/cgi-bin/cdsbib?1990RMxAA..21..381G" xr:uid="{00000000-0004-0000-0000-000006000000}"/>
    <hyperlink ref="AP5972" r:id="rId8" display="http://cdsbib.u-strasbg.fr/cgi-bin/cdsbib?1990RMxAA..21..381G" xr:uid="{00000000-0004-0000-0000-000007000000}"/>
    <hyperlink ref="AP5956" r:id="rId9" display="http://cdsbib.u-strasbg.fr/cgi-bin/cdsbib?1990RMxAA..21..381G" xr:uid="{00000000-0004-0000-0000-000008000000}"/>
    <hyperlink ref="AQ6185" r:id="rId10" display="http://cdsbib.u-strasbg.fr/cgi-bin/cdsbib?1990RMxAA..21..381G" xr:uid="{00000000-0004-0000-0000-000009000000}"/>
    <hyperlink ref="AQ6189" r:id="rId11" display="http://cdsbib.u-strasbg.fr/cgi-bin/cdsbib?1990RMxAA..21..381G" xr:uid="{00000000-0004-0000-0000-00000A000000}"/>
    <hyperlink ref="AQ694" r:id="rId12" display="http://cdsbib.u-strasbg.fr/cgi-bin/cdsbib?1990RMxAA..21..381G" xr:uid="{00000000-0004-0000-0000-00000B000000}"/>
    <hyperlink ref="I4831" r:id="rId13" display="http://vsolj.cetus-net.org/bulletin.html" xr:uid="{00000000-0004-0000-0000-00000C000000}"/>
    <hyperlink ref="H4831" r:id="rId14" display="http://vsolj.cetus-net.org/bulletin.html" xr:uid="{00000000-0004-0000-0000-00000D000000}"/>
    <hyperlink ref="AQ2257" r:id="rId15" display="http://cdsbib.u-strasbg.fr/cgi-bin/cdsbib?1990RMxAA..21..381G" xr:uid="{00000000-0004-0000-0000-00000E000000}"/>
    <hyperlink ref="AQ2256" r:id="rId16" display="http://cdsbib.u-strasbg.fr/cgi-bin/cdsbib?1990RMxAA..21..381G" xr:uid="{00000000-0004-0000-0000-00000F000000}"/>
    <hyperlink ref="AP2011" r:id="rId17" display="http://cdsbib.u-strasbg.fr/cgi-bin/cdsbib?1990RMxAA..21..381G" xr:uid="{00000000-0004-0000-0000-000010000000}"/>
    <hyperlink ref="AP2037" r:id="rId18" display="http://cdsbib.u-strasbg.fr/cgi-bin/cdsbib?1990RMxAA..21..381G" xr:uid="{00000000-0004-0000-0000-000011000000}"/>
    <hyperlink ref="AP2038" r:id="rId19" display="http://cdsbib.u-strasbg.fr/cgi-bin/cdsbib?1990RMxAA..21..381G" xr:uid="{00000000-0004-0000-0000-000012000000}"/>
    <hyperlink ref="AP20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2"/>
  <sheetViews>
    <sheetView workbookViewId="0">
      <selection activeCell="A18" sqref="A18:D22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IBVS 5777 </v>
      </c>
      <c r="B11" s="3" t="str">
        <f t="shared" ref="B11:B22" si="1">IF(H11=INT(H11),"I","II")</f>
        <v>I</v>
      </c>
      <c r="C11" s="10">
        <f t="shared" ref="C11:C22" si="2">1*G11</f>
        <v>53991.590100000001</v>
      </c>
      <c r="D11" s="12" t="str">
        <f t="shared" ref="D11:D22" si="3">VLOOKUP(F11,I$1:J$5,2,FALSE)</f>
        <v>vis</v>
      </c>
      <c r="E11" s="48">
        <f>VLOOKUP(C11,Active!C$21:E$973,3,FALSE)</f>
        <v>-52.986416940198602</v>
      </c>
      <c r="F11" s="3" t="s">
        <v>61</v>
      </c>
      <c r="G11" s="12" t="str">
        <f t="shared" ref="G11:G22" si="4">MID(I11,3,LEN(I11)-3)</f>
        <v>53991.5901</v>
      </c>
      <c r="H11" s="10">
        <f t="shared" ref="H11:H22" si="5">1*K11</f>
        <v>27545</v>
      </c>
      <c r="I11" s="49" t="s">
        <v>80</v>
      </c>
      <c r="J11" s="50" t="s">
        <v>81</v>
      </c>
      <c r="K11" s="49">
        <v>27545</v>
      </c>
      <c r="L11" s="49" t="s">
        <v>82</v>
      </c>
      <c r="M11" s="50" t="s">
        <v>66</v>
      </c>
      <c r="N11" s="50" t="s">
        <v>83</v>
      </c>
      <c r="O11" s="51" t="s">
        <v>84</v>
      </c>
      <c r="P11" s="52" t="s">
        <v>85</v>
      </c>
    </row>
    <row r="12" spans="1:16" ht="12.75" customHeight="1" thickBot="1" x14ac:dyDescent="0.25">
      <c r="A12" s="10" t="str">
        <f t="shared" si="0"/>
        <v>IBVS 5777 </v>
      </c>
      <c r="B12" s="3" t="str">
        <f t="shared" si="1"/>
        <v>I</v>
      </c>
      <c r="C12" s="10">
        <f t="shared" si="2"/>
        <v>54003.469599999997</v>
      </c>
      <c r="D12" s="12" t="str">
        <f t="shared" si="3"/>
        <v>vis</v>
      </c>
      <c r="E12" s="48">
        <f>VLOOKUP(C12,Active!C$21:E$973,3,FALSE)</f>
        <v>-34.999465599379285</v>
      </c>
      <c r="F12" s="3" t="s">
        <v>61</v>
      </c>
      <c r="G12" s="12" t="str">
        <f t="shared" si="4"/>
        <v>54003.4696</v>
      </c>
      <c r="H12" s="10">
        <f t="shared" si="5"/>
        <v>27563</v>
      </c>
      <c r="I12" s="49" t="s">
        <v>86</v>
      </c>
      <c r="J12" s="50" t="s">
        <v>87</v>
      </c>
      <c r="K12" s="49">
        <v>27563</v>
      </c>
      <c r="L12" s="49" t="s">
        <v>88</v>
      </c>
      <c r="M12" s="50" t="s">
        <v>66</v>
      </c>
      <c r="N12" s="50" t="s">
        <v>83</v>
      </c>
      <c r="O12" s="51" t="s">
        <v>84</v>
      </c>
      <c r="P12" s="52" t="s">
        <v>85</v>
      </c>
    </row>
    <row r="13" spans="1:16" ht="12.75" customHeight="1" thickBot="1" x14ac:dyDescent="0.25">
      <c r="A13" s="10" t="str">
        <f t="shared" si="0"/>
        <v>IBVS 5777 </v>
      </c>
      <c r="B13" s="3" t="str">
        <f t="shared" si="1"/>
        <v>I</v>
      </c>
      <c r="C13" s="10">
        <f t="shared" si="2"/>
        <v>54009.415999999997</v>
      </c>
      <c r="D13" s="12" t="str">
        <f t="shared" si="3"/>
        <v>vis</v>
      </c>
      <c r="E13" s="48">
        <f>VLOOKUP(C13,Active!C$21:E$973,3,FALSE)</f>
        <v>-25.995921051788741</v>
      </c>
      <c r="F13" s="3" t="s">
        <v>61</v>
      </c>
      <c r="G13" s="12" t="str">
        <f t="shared" si="4"/>
        <v>54009.4160</v>
      </c>
      <c r="H13" s="10">
        <f t="shared" si="5"/>
        <v>27572</v>
      </c>
      <c r="I13" s="49" t="s">
        <v>89</v>
      </c>
      <c r="J13" s="50" t="s">
        <v>90</v>
      </c>
      <c r="K13" s="49">
        <v>27572</v>
      </c>
      <c r="L13" s="49" t="s">
        <v>91</v>
      </c>
      <c r="M13" s="50" t="s">
        <v>66</v>
      </c>
      <c r="N13" s="50" t="s">
        <v>83</v>
      </c>
      <c r="O13" s="51" t="s">
        <v>84</v>
      </c>
      <c r="P13" s="52" t="s">
        <v>85</v>
      </c>
    </row>
    <row r="14" spans="1:16" ht="12.75" customHeight="1" thickBot="1" x14ac:dyDescent="0.25">
      <c r="A14" s="10" t="str">
        <f t="shared" si="0"/>
        <v>IBVS 5777 </v>
      </c>
      <c r="B14" s="3" t="str">
        <f t="shared" si="1"/>
        <v>I</v>
      </c>
      <c r="C14" s="10">
        <f t="shared" si="2"/>
        <v>54025.270799999998</v>
      </c>
      <c r="D14" s="12" t="str">
        <f t="shared" si="3"/>
        <v>vis</v>
      </c>
      <c r="E14" s="48">
        <f>VLOOKUP(C14,Active!C$21:E$973,3,FALSE)</f>
        <v>-1.9899009231176112</v>
      </c>
      <c r="F14" s="3" t="s">
        <v>61</v>
      </c>
      <c r="G14" s="12" t="str">
        <f t="shared" si="4"/>
        <v>54025.2708</v>
      </c>
      <c r="H14" s="10">
        <f t="shared" si="5"/>
        <v>27596</v>
      </c>
      <c r="I14" s="49" t="s">
        <v>92</v>
      </c>
      <c r="J14" s="50" t="s">
        <v>93</v>
      </c>
      <c r="K14" s="49">
        <v>27596</v>
      </c>
      <c r="L14" s="49" t="s">
        <v>94</v>
      </c>
      <c r="M14" s="50" t="s">
        <v>66</v>
      </c>
      <c r="N14" s="50" t="s">
        <v>83</v>
      </c>
      <c r="O14" s="51" t="s">
        <v>84</v>
      </c>
      <c r="P14" s="52" t="s">
        <v>85</v>
      </c>
    </row>
    <row r="15" spans="1:16" ht="12.75" customHeight="1" thickBot="1" x14ac:dyDescent="0.25">
      <c r="A15" s="10" t="str">
        <f t="shared" si="0"/>
        <v>IBVS 5777 </v>
      </c>
      <c r="B15" s="3" t="str">
        <f t="shared" si="1"/>
        <v>I</v>
      </c>
      <c r="C15" s="10">
        <f t="shared" si="2"/>
        <v>54026.580399999999</v>
      </c>
      <c r="D15" s="12" t="str">
        <f t="shared" si="3"/>
        <v>vis</v>
      </c>
      <c r="E15" s="48">
        <f>VLOOKUP(C15,Active!C$21:E$973,3,FALSE)</f>
        <v>-7.0134719660487161E-3</v>
      </c>
      <c r="F15" s="3" t="s">
        <v>61</v>
      </c>
      <c r="G15" s="12" t="str">
        <f t="shared" si="4"/>
        <v>54026.5804</v>
      </c>
      <c r="H15" s="10">
        <f t="shared" si="5"/>
        <v>27598</v>
      </c>
      <c r="I15" s="49" t="s">
        <v>95</v>
      </c>
      <c r="J15" s="50" t="s">
        <v>96</v>
      </c>
      <c r="K15" s="49">
        <v>27598</v>
      </c>
      <c r="L15" s="49" t="s">
        <v>97</v>
      </c>
      <c r="M15" s="50" t="s">
        <v>66</v>
      </c>
      <c r="N15" s="50" t="s">
        <v>83</v>
      </c>
      <c r="O15" s="51" t="s">
        <v>84</v>
      </c>
      <c r="P15" s="52" t="s">
        <v>85</v>
      </c>
    </row>
    <row r="16" spans="1:16" ht="12.75" customHeight="1" thickBot="1" x14ac:dyDescent="0.25">
      <c r="A16" s="10" t="str">
        <f t="shared" si="0"/>
        <v>IBVS 5871 </v>
      </c>
      <c r="B16" s="3" t="str">
        <f t="shared" si="1"/>
        <v>I</v>
      </c>
      <c r="C16" s="10">
        <f t="shared" si="2"/>
        <v>54792.711000000003</v>
      </c>
      <c r="D16" s="12" t="str">
        <f t="shared" si="3"/>
        <v>vis</v>
      </c>
      <c r="E16" s="48">
        <f>VLOOKUP(C16,Active!C$21:E$973,3,FALSE)</f>
        <v>1160.0042515575426</v>
      </c>
      <c r="F16" s="3" t="s">
        <v>61</v>
      </c>
      <c r="G16" s="12" t="str">
        <f t="shared" si="4"/>
        <v>54792.711</v>
      </c>
      <c r="H16" s="10">
        <f t="shared" si="5"/>
        <v>28758</v>
      </c>
      <c r="I16" s="49" t="s">
        <v>98</v>
      </c>
      <c r="J16" s="50" t="s">
        <v>99</v>
      </c>
      <c r="K16" s="49">
        <v>28758</v>
      </c>
      <c r="L16" s="49" t="s">
        <v>100</v>
      </c>
      <c r="M16" s="50" t="s">
        <v>66</v>
      </c>
      <c r="N16" s="50" t="s">
        <v>61</v>
      </c>
      <c r="O16" s="51" t="s">
        <v>101</v>
      </c>
      <c r="P16" s="52" t="s">
        <v>102</v>
      </c>
    </row>
    <row r="17" spans="1:16" ht="12.75" customHeight="1" thickBot="1" x14ac:dyDescent="0.25">
      <c r="A17" s="10" t="str">
        <f t="shared" si="0"/>
        <v>IBVS 5929 </v>
      </c>
      <c r="B17" s="3" t="str">
        <f t="shared" si="1"/>
        <v>I</v>
      </c>
      <c r="C17" s="10">
        <f t="shared" si="2"/>
        <v>55109.745000000003</v>
      </c>
      <c r="D17" s="12" t="str">
        <f t="shared" si="3"/>
        <v>vis</v>
      </c>
      <c r="E17" s="48">
        <f>VLOOKUP(C17,Active!C$21:E$973,3,FALSE)</f>
        <v>1640.0307788850805</v>
      </c>
      <c r="F17" s="3" t="s">
        <v>61</v>
      </c>
      <c r="G17" s="12" t="str">
        <f t="shared" si="4"/>
        <v>55109.745</v>
      </c>
      <c r="H17" s="10">
        <f t="shared" si="5"/>
        <v>29238</v>
      </c>
      <c r="I17" s="49" t="s">
        <v>103</v>
      </c>
      <c r="J17" s="50" t="s">
        <v>104</v>
      </c>
      <c r="K17" s="49">
        <v>29238</v>
      </c>
      <c r="L17" s="49" t="s">
        <v>105</v>
      </c>
      <c r="M17" s="50" t="s">
        <v>66</v>
      </c>
      <c r="N17" s="50" t="s">
        <v>53</v>
      </c>
      <c r="O17" s="51" t="s">
        <v>106</v>
      </c>
      <c r="P17" s="52" t="s">
        <v>107</v>
      </c>
    </row>
    <row r="18" spans="1:16" ht="12.75" customHeight="1" thickBot="1" x14ac:dyDescent="0.25">
      <c r="A18" s="10" t="str">
        <f t="shared" si="0"/>
        <v>OEJV 0074 </v>
      </c>
      <c r="B18" s="3" t="str">
        <f t="shared" si="1"/>
        <v>I</v>
      </c>
      <c r="C18" s="10">
        <f t="shared" si="2"/>
        <v>51780.489699999998</v>
      </c>
      <c r="D18" s="12" t="str">
        <f t="shared" si="3"/>
        <v>vis</v>
      </c>
      <c r="E18" s="48">
        <f>VLOOKUP(C18,Active!C$21:E$973,3,FALSE)</f>
        <v>-3400.8508308028513</v>
      </c>
      <c r="F18" s="3" t="s">
        <v>61</v>
      </c>
      <c r="G18" s="12" t="str">
        <f t="shared" si="4"/>
        <v>51780.4897</v>
      </c>
      <c r="H18" s="10">
        <f t="shared" si="5"/>
        <v>24197</v>
      </c>
      <c r="I18" s="49" t="s">
        <v>63</v>
      </c>
      <c r="J18" s="50" t="s">
        <v>64</v>
      </c>
      <c r="K18" s="49">
        <v>24197</v>
      </c>
      <c r="L18" s="49" t="s">
        <v>65</v>
      </c>
      <c r="M18" s="50" t="s">
        <v>66</v>
      </c>
      <c r="N18" s="50" t="s">
        <v>67</v>
      </c>
      <c r="O18" s="51" t="s">
        <v>68</v>
      </c>
      <c r="P18" s="52" t="s">
        <v>69</v>
      </c>
    </row>
    <row r="19" spans="1:16" ht="12.75" customHeight="1" thickBot="1" x14ac:dyDescent="0.25">
      <c r="A19" s="10" t="str">
        <f t="shared" si="0"/>
        <v>OEJV 0074 </v>
      </c>
      <c r="B19" s="3" t="str">
        <f t="shared" si="1"/>
        <v>II</v>
      </c>
      <c r="C19" s="10">
        <f t="shared" si="2"/>
        <v>51783.328600000001</v>
      </c>
      <c r="D19" s="12" t="str">
        <f t="shared" si="3"/>
        <v>vis</v>
      </c>
      <c r="E19" s="48">
        <f>VLOOKUP(C19,Active!C$21:E$973,3,FALSE)</f>
        <v>-3396.5524044245094</v>
      </c>
      <c r="F19" s="3" t="s">
        <v>61</v>
      </c>
      <c r="G19" s="12" t="str">
        <f t="shared" si="4"/>
        <v>51783.3286</v>
      </c>
      <c r="H19" s="10">
        <f t="shared" si="5"/>
        <v>24201.5</v>
      </c>
      <c r="I19" s="49" t="s">
        <v>70</v>
      </c>
      <c r="J19" s="50" t="s">
        <v>71</v>
      </c>
      <c r="K19" s="49">
        <v>24201.5</v>
      </c>
      <c r="L19" s="49" t="s">
        <v>72</v>
      </c>
      <c r="M19" s="50" t="s">
        <v>66</v>
      </c>
      <c r="N19" s="50" t="s">
        <v>67</v>
      </c>
      <c r="O19" s="51" t="s">
        <v>68</v>
      </c>
      <c r="P19" s="52" t="s">
        <v>69</v>
      </c>
    </row>
    <row r="20" spans="1:16" ht="12.75" customHeight="1" thickBot="1" x14ac:dyDescent="0.25">
      <c r="A20" s="10" t="str">
        <f t="shared" si="0"/>
        <v>OEJV 0074 </v>
      </c>
      <c r="B20" s="3" t="str">
        <f t="shared" si="1"/>
        <v>I</v>
      </c>
      <c r="C20" s="10">
        <f t="shared" si="2"/>
        <v>51898.409800000001</v>
      </c>
      <c r="D20" s="12" t="str">
        <f t="shared" si="3"/>
        <v>vis</v>
      </c>
      <c r="E20" s="48">
        <f>VLOOKUP(C20,Active!C$21:E$973,3,FALSE)</f>
        <v>-3222.3060182429449</v>
      </c>
      <c r="F20" s="3" t="s">
        <v>61</v>
      </c>
      <c r="G20" s="12" t="str">
        <f t="shared" si="4"/>
        <v>51898.4098</v>
      </c>
      <c r="H20" s="10">
        <f t="shared" si="5"/>
        <v>24376</v>
      </c>
      <c r="I20" s="49" t="s">
        <v>73</v>
      </c>
      <c r="J20" s="50" t="s">
        <v>74</v>
      </c>
      <c r="K20" s="49">
        <v>24376</v>
      </c>
      <c r="L20" s="49" t="s">
        <v>75</v>
      </c>
      <c r="M20" s="50" t="s">
        <v>66</v>
      </c>
      <c r="N20" s="50" t="s">
        <v>67</v>
      </c>
      <c r="O20" s="51" t="s">
        <v>68</v>
      </c>
      <c r="P20" s="52" t="s">
        <v>69</v>
      </c>
    </row>
    <row r="21" spans="1:16" ht="12.75" customHeight="1" thickBot="1" x14ac:dyDescent="0.25">
      <c r="A21" s="10" t="str">
        <f t="shared" si="0"/>
        <v>OEJV 0074 </v>
      </c>
      <c r="B21" s="3" t="str">
        <f t="shared" si="1"/>
        <v>I</v>
      </c>
      <c r="C21" s="10">
        <f t="shared" si="2"/>
        <v>52857.402199999997</v>
      </c>
      <c r="D21" s="12" t="str">
        <f t="shared" si="3"/>
        <v>vis</v>
      </c>
      <c r="E21" s="48">
        <f>VLOOKUP(C21,Active!C$21:E$973,3,FALSE)</f>
        <v>-1770.2794485201409</v>
      </c>
      <c r="F21" s="3" t="s">
        <v>61</v>
      </c>
      <c r="G21" s="12" t="str">
        <f t="shared" si="4"/>
        <v>52857.4022</v>
      </c>
      <c r="H21" s="10">
        <f t="shared" si="5"/>
        <v>25828</v>
      </c>
      <c r="I21" s="49" t="s">
        <v>76</v>
      </c>
      <c r="J21" s="50" t="s">
        <v>77</v>
      </c>
      <c r="K21" s="49">
        <v>25828</v>
      </c>
      <c r="L21" s="49" t="s">
        <v>78</v>
      </c>
      <c r="M21" s="50" t="s">
        <v>66</v>
      </c>
      <c r="N21" s="50" t="s">
        <v>67</v>
      </c>
      <c r="O21" s="51" t="s">
        <v>79</v>
      </c>
      <c r="P21" s="52" t="s">
        <v>69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55857.408900000002</v>
      </c>
      <c r="D22" s="12" t="str">
        <f t="shared" si="3"/>
        <v>vis</v>
      </c>
      <c r="E22" s="48">
        <f>VLOOKUP(C22,Active!C$21:E$973,3,FALSE)</f>
        <v>2772.081301936752</v>
      </c>
      <c r="F22" s="3" t="s">
        <v>61</v>
      </c>
      <c r="G22" s="12" t="str">
        <f t="shared" si="4"/>
        <v>55857.4089</v>
      </c>
      <c r="H22" s="10">
        <f t="shared" si="5"/>
        <v>30370</v>
      </c>
      <c r="I22" s="49" t="s">
        <v>108</v>
      </c>
      <c r="J22" s="50" t="s">
        <v>109</v>
      </c>
      <c r="K22" s="49">
        <v>30370</v>
      </c>
      <c r="L22" s="49" t="s">
        <v>110</v>
      </c>
      <c r="M22" s="50" t="s">
        <v>66</v>
      </c>
      <c r="N22" s="50" t="s">
        <v>111</v>
      </c>
      <c r="O22" s="51" t="s">
        <v>112</v>
      </c>
      <c r="P22" s="52" t="s">
        <v>113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</sheetData>
  <phoneticPr fontId="7" type="noConversion"/>
  <hyperlinks>
    <hyperlink ref="A3" r:id="rId1" xr:uid="{00000000-0004-0000-0100-000000000000}"/>
    <hyperlink ref="P18" r:id="rId2" display="http://var.astro.cz/oejv/issues/oejv0074.pdf" xr:uid="{00000000-0004-0000-0100-000001000000}"/>
    <hyperlink ref="P19" r:id="rId3" display="http://var.astro.cz/oejv/issues/oejv0074.pdf" xr:uid="{00000000-0004-0000-0100-000002000000}"/>
    <hyperlink ref="P20" r:id="rId4" display="http://var.astro.cz/oejv/issues/oejv0074.pdf" xr:uid="{00000000-0004-0000-0100-000003000000}"/>
    <hyperlink ref="P21" r:id="rId5" display="http://var.astro.cz/oejv/issues/oejv0074.pdf" xr:uid="{00000000-0004-0000-0100-000004000000}"/>
    <hyperlink ref="P11" r:id="rId6" display="http://www.konkoly.hu/cgi-bin/IBVS?5777" xr:uid="{00000000-0004-0000-0100-000005000000}"/>
    <hyperlink ref="P12" r:id="rId7" display="http://www.konkoly.hu/cgi-bin/IBVS?5777" xr:uid="{00000000-0004-0000-0100-000006000000}"/>
    <hyperlink ref="P13" r:id="rId8" display="http://www.konkoly.hu/cgi-bin/IBVS?5777" xr:uid="{00000000-0004-0000-0100-000007000000}"/>
    <hyperlink ref="P14" r:id="rId9" display="http://www.konkoly.hu/cgi-bin/IBVS?5777" xr:uid="{00000000-0004-0000-0100-000008000000}"/>
    <hyperlink ref="P15" r:id="rId10" display="http://www.konkoly.hu/cgi-bin/IBVS?5777" xr:uid="{00000000-0004-0000-0100-000009000000}"/>
    <hyperlink ref="P16" r:id="rId11" display="http://www.konkoly.hu/cgi-bin/IBVS?5871" xr:uid="{00000000-0004-0000-0100-00000A000000}"/>
    <hyperlink ref="P17" r:id="rId12" display="http://www.konkoly.hu/cgi-bin/IBVS?5929" xr:uid="{00000000-0004-0000-0100-00000B000000}"/>
    <hyperlink ref="P22" r:id="rId13" display="http://www.bav-astro.de/sfs/BAVM_link.php?BAVMnr=225" xr:uid="{00000000-0004-0000-0100-00000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7"/>
  <sheetViews>
    <sheetView workbookViewId="0">
      <selection activeCell="G28" sqref="G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26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2</v>
      </c>
      <c r="C4" s="8">
        <v>35799.247000000003</v>
      </c>
      <c r="D4" s="9">
        <v>0.6604565</v>
      </c>
    </row>
    <row r="6" spans="1:7" x14ac:dyDescent="0.2">
      <c r="A6" s="5" t="s">
        <v>3</v>
      </c>
    </row>
    <row r="7" spans="1:7" x14ac:dyDescent="0.2">
      <c r="A7" t="s">
        <v>4</v>
      </c>
      <c r="C7">
        <v>54026.585032054572</v>
      </c>
    </row>
    <row r="8" spans="1:7" x14ac:dyDescent="0.2">
      <c r="A8" t="s">
        <v>5</v>
      </c>
      <c r="C8">
        <v>0.66032982993865208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18</v>
      </c>
      <c r="B11" s="12"/>
      <c r="C11" s="29">
        <f ca="1">INTERCEPT(INDIRECT($G$11):G975,INDIRECT($F$11):F975)</f>
        <v>8.2166093516996153E-3</v>
      </c>
      <c r="D11" s="3"/>
      <c r="E11" s="12"/>
      <c r="F11" s="30" t="str">
        <f>"F"&amp;E19</f>
        <v>F22</v>
      </c>
      <c r="G11" s="31" t="str">
        <f>"G"&amp;E19</f>
        <v>G22</v>
      </c>
    </row>
    <row r="12" spans="1:7" x14ac:dyDescent="0.2">
      <c r="A12" s="12" t="s">
        <v>19</v>
      </c>
      <c r="B12" s="12"/>
      <c r="C12" s="29">
        <f ca="1">SLOPE(INDIRECT($G$11):G975,INDIRECT($F$11):F975)</f>
        <v>-9.4129699306982723E-6</v>
      </c>
      <c r="D12" s="3"/>
      <c r="E12" s="12"/>
    </row>
    <row r="13" spans="1:7" x14ac:dyDescent="0.2">
      <c r="A13" s="12" t="s">
        <v>21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(C7+C11)+(C8+C12)*INT(MAX(F21:F3516))</f>
        <v>55109.518732492623</v>
      </c>
      <c r="D15" s="16" t="s">
        <v>35</v>
      </c>
      <c r="E15" s="17">
        <f ca="1">TODAY()+15018.5-B9/24</f>
        <v>60319.5</v>
      </c>
    </row>
    <row r="16" spans="1:7" x14ac:dyDescent="0.2">
      <c r="A16" s="18" t="s">
        <v>6</v>
      </c>
      <c r="B16" s="12"/>
      <c r="C16" s="19">
        <f ca="1">+C8+C12</f>
        <v>0.66032041696872135</v>
      </c>
      <c r="D16" s="16" t="s">
        <v>36</v>
      </c>
      <c r="E16" s="17">
        <f ca="1">ROUND(2*(E15-C15)/C16,0)/2+1</f>
        <v>7891</v>
      </c>
    </row>
    <row r="17" spans="1:17" ht="13.5" thickBot="1" x14ac:dyDescent="0.25">
      <c r="A17" s="16" t="s">
        <v>32</v>
      </c>
      <c r="B17" s="12"/>
      <c r="C17" s="12">
        <f>COUNT(C21:C2174)</f>
        <v>8</v>
      </c>
      <c r="D17" s="16" t="s">
        <v>37</v>
      </c>
      <c r="E17" s="20">
        <f ca="1">+C15+C16*E16-15018.5-C9/24</f>
        <v>45301.273809459468</v>
      </c>
    </row>
    <row r="18" spans="1:17" ht="14.25" thickTop="1" thickBot="1" x14ac:dyDescent="0.25">
      <c r="A18" s="18" t="s">
        <v>7</v>
      </c>
      <c r="B18" s="12"/>
      <c r="C18" s="21">
        <f ca="1">+C15</f>
        <v>55109.518732492623</v>
      </c>
      <c r="D18" s="22">
        <f ca="1">+C16</f>
        <v>0.66032041696872135</v>
      </c>
      <c r="E18" s="23" t="s">
        <v>38</v>
      </c>
    </row>
    <row r="19" spans="1:17" ht="13.5" thickTop="1" x14ac:dyDescent="0.2">
      <c r="A19" s="32" t="s">
        <v>45</v>
      </c>
      <c r="E19" s="33">
        <v>22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14</v>
      </c>
      <c r="I20" s="7" t="s">
        <v>31</v>
      </c>
      <c r="J20" s="7" t="s">
        <v>47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35799.247000000003</v>
      </c>
      <c r="D21" s="10" t="s">
        <v>16</v>
      </c>
      <c r="E21">
        <f t="shared" ref="E21:E27" si="0">+(C21-C$7)/C$8</f>
        <v>-27603.384256846279</v>
      </c>
      <c r="F21">
        <f t="shared" ref="F21:F28" si="1">ROUND(2*E21,0)/2</f>
        <v>-27603.5</v>
      </c>
      <c r="H21">
        <v>0</v>
      </c>
      <c r="Q21" s="2">
        <f t="shared" ref="Q21:Q27" si="2">+C21-15018.5</f>
        <v>20780.747000000003</v>
      </c>
    </row>
    <row r="22" spans="1:17" x14ac:dyDescent="0.2">
      <c r="A22" s="24" t="s">
        <v>41</v>
      </c>
      <c r="B22" s="25" t="s">
        <v>42</v>
      </c>
      <c r="C22" s="26">
        <v>53991.590100000001</v>
      </c>
      <c r="D22" s="26">
        <v>2.0000000000000001E-4</v>
      </c>
      <c r="E22">
        <f t="shared" si="0"/>
        <v>-52.996139910599389</v>
      </c>
      <c r="F22">
        <f t="shared" si="1"/>
        <v>-53</v>
      </c>
      <c r="G22">
        <f t="shared" ref="G22:G28" si="3">+C22-(C$7+F22*C$8)</f>
        <v>2.5489321778877638E-3</v>
      </c>
      <c r="I22">
        <f t="shared" ref="I22:I27" si="4">+G22</f>
        <v>2.5489321778877638E-3</v>
      </c>
      <c r="O22">
        <f t="shared" ref="O22:O27" ca="1" si="5">+C$11+C$12*$F22</f>
        <v>8.7154967580266238E-3</v>
      </c>
      <c r="Q22" s="2">
        <f t="shared" si="2"/>
        <v>38973.090100000001</v>
      </c>
    </row>
    <row r="23" spans="1:17" x14ac:dyDescent="0.2">
      <c r="A23" s="24" t="s">
        <v>41</v>
      </c>
      <c r="B23" s="25" t="s">
        <v>42</v>
      </c>
      <c r="C23" s="26">
        <v>54003.469599999997</v>
      </c>
      <c r="D23" s="26">
        <v>1E-4</v>
      </c>
      <c r="E23">
        <f t="shared" si="0"/>
        <v>-35.005887976805752</v>
      </c>
      <c r="F23">
        <f t="shared" si="1"/>
        <v>-35</v>
      </c>
      <c r="G23">
        <f t="shared" si="3"/>
        <v>-3.8880067222635262E-3</v>
      </c>
      <c r="I23">
        <f t="shared" si="4"/>
        <v>-3.8880067222635262E-3</v>
      </c>
      <c r="O23">
        <f t="shared" ca="1" si="5"/>
        <v>8.5460632992740548E-3</v>
      </c>
      <c r="Q23" s="2">
        <f t="shared" si="2"/>
        <v>38984.969599999997</v>
      </c>
    </row>
    <row r="24" spans="1:17" x14ac:dyDescent="0.2">
      <c r="A24" s="24" t="s">
        <v>41</v>
      </c>
      <c r="B24" s="25" t="s">
        <v>42</v>
      </c>
      <c r="C24" s="26">
        <v>54009.415999999997</v>
      </c>
      <c r="D24" s="26">
        <v>2.0000000000000001E-4</v>
      </c>
      <c r="E24">
        <f t="shared" si="0"/>
        <v>-26.000691285096138</v>
      </c>
      <c r="F24">
        <f t="shared" si="1"/>
        <v>-26</v>
      </c>
      <c r="G24">
        <f t="shared" si="3"/>
        <v>-4.564761693472974E-4</v>
      </c>
      <c r="I24">
        <f t="shared" si="4"/>
        <v>-4.564761693472974E-4</v>
      </c>
      <c r="O24">
        <f t="shared" ca="1" si="5"/>
        <v>8.4613465698977711E-3</v>
      </c>
      <c r="Q24" s="2">
        <f t="shared" si="2"/>
        <v>38990.915999999997</v>
      </c>
    </row>
    <row r="25" spans="1:17" x14ac:dyDescent="0.2">
      <c r="A25" s="24" t="s">
        <v>41</v>
      </c>
      <c r="B25" s="25" t="s">
        <v>43</v>
      </c>
      <c r="C25" s="26">
        <v>54025.270799999998</v>
      </c>
      <c r="D25" s="26">
        <v>1E-4</v>
      </c>
      <c r="E25">
        <f t="shared" si="0"/>
        <v>-1.9902660685434248</v>
      </c>
      <c r="F25">
        <f t="shared" si="1"/>
        <v>-2</v>
      </c>
      <c r="G25">
        <f t="shared" si="3"/>
        <v>6.4276053017238155E-3</v>
      </c>
      <c r="I25">
        <f t="shared" si="4"/>
        <v>6.4276053017238155E-3</v>
      </c>
      <c r="O25">
        <f t="shared" ca="1" si="5"/>
        <v>8.2354352915610125E-3</v>
      </c>
      <c r="Q25" s="2">
        <f t="shared" si="2"/>
        <v>39006.770799999998</v>
      </c>
    </row>
    <row r="26" spans="1:17" x14ac:dyDescent="0.2">
      <c r="A26" s="24" t="s">
        <v>41</v>
      </c>
      <c r="B26" s="25" t="s">
        <v>42</v>
      </c>
      <c r="C26" s="26">
        <v>54026.580399999999</v>
      </c>
      <c r="D26" s="26">
        <v>1E-4</v>
      </c>
      <c r="E26">
        <f t="shared" si="0"/>
        <v>-7.0147589332427724E-3</v>
      </c>
      <c r="F26">
        <f t="shared" si="1"/>
        <v>0</v>
      </c>
      <c r="G26">
        <f t="shared" si="3"/>
        <v>-4.6320545734488405E-3</v>
      </c>
      <c r="I26">
        <f t="shared" si="4"/>
        <v>-4.6320545734488405E-3</v>
      </c>
      <c r="O26">
        <f t="shared" ca="1" si="5"/>
        <v>8.2166093516996153E-3</v>
      </c>
      <c r="Q26" s="2">
        <f t="shared" si="2"/>
        <v>39008.080399999999</v>
      </c>
    </row>
    <row r="27" spans="1:17" x14ac:dyDescent="0.2">
      <c r="A27" s="27" t="s">
        <v>44</v>
      </c>
      <c r="B27" s="28" t="s">
        <v>42</v>
      </c>
      <c r="C27" s="27">
        <v>54792.711000000003</v>
      </c>
      <c r="D27" s="27">
        <v>3.0000000000000001E-3</v>
      </c>
      <c r="E27">
        <f t="shared" si="0"/>
        <v>1160.2171115253229</v>
      </c>
      <c r="F27">
        <f t="shared" si="1"/>
        <v>1160</v>
      </c>
      <c r="G27">
        <f t="shared" si="3"/>
        <v>0.14336521659424761</v>
      </c>
      <c r="I27">
        <f t="shared" si="4"/>
        <v>0.14336521659424761</v>
      </c>
      <c r="O27">
        <f t="shared" ca="1" si="5"/>
        <v>-2.7024357679103807E-3</v>
      </c>
      <c r="Q27" s="2">
        <f t="shared" si="2"/>
        <v>39774.211000000003</v>
      </c>
    </row>
    <row r="28" spans="1:17" x14ac:dyDescent="0.2">
      <c r="A28" s="34" t="s">
        <v>46</v>
      </c>
      <c r="C28" s="10">
        <v>55109.745000000003</v>
      </c>
      <c r="D28" s="10">
        <v>1E-3</v>
      </c>
      <c r="E28">
        <f>+(C28-C$7)/C$8</f>
        <v>1640.3317233844505</v>
      </c>
      <c r="F28">
        <f t="shared" si="1"/>
        <v>1640.5</v>
      </c>
      <c r="G28">
        <f t="shared" si="3"/>
        <v>-0.11111806892586173</v>
      </c>
      <c r="J28">
        <f>+G28</f>
        <v>-0.11111806892586173</v>
      </c>
      <c r="O28">
        <f ca="1">+C$11+C$12*$F28</f>
        <v>-7.2253678196108999E-3</v>
      </c>
      <c r="Q28" s="2">
        <f>+C28-15018.5</f>
        <v>40091.245000000003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2024-01-09T23:23:46Z</dcterms:modified>
</cp:coreProperties>
</file>