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6484B50-D418-414A-967E-16BA6B7F91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28" i="1" l="1"/>
  <c r="Q29" i="1"/>
  <c r="Q32" i="1"/>
  <c r="Q33" i="1"/>
  <c r="G12" i="2"/>
  <c r="C12" i="2"/>
  <c r="G13" i="2"/>
  <c r="C13" i="2"/>
  <c r="G14" i="2"/>
  <c r="C14" i="2"/>
  <c r="G15" i="2"/>
  <c r="C15" i="2"/>
  <c r="G16" i="2"/>
  <c r="C16" i="2"/>
  <c r="G21" i="2"/>
  <c r="C21" i="2"/>
  <c r="G22" i="2"/>
  <c r="C22" i="2"/>
  <c r="G17" i="2"/>
  <c r="C17" i="2"/>
  <c r="G18" i="2"/>
  <c r="C18" i="2"/>
  <c r="G23" i="2"/>
  <c r="C23" i="2"/>
  <c r="G24" i="2"/>
  <c r="C24" i="2"/>
  <c r="G19" i="2"/>
  <c r="C19" i="2"/>
  <c r="G20" i="2"/>
  <c r="C20" i="2"/>
  <c r="G11" i="2"/>
  <c r="C11" i="2"/>
  <c r="H20" i="2"/>
  <c r="D20" i="2"/>
  <c r="B20" i="2"/>
  <c r="A20" i="2"/>
  <c r="H19" i="2"/>
  <c r="B19" i="2"/>
  <c r="D19" i="2"/>
  <c r="A19" i="2"/>
  <c r="H24" i="2"/>
  <c r="D24" i="2"/>
  <c r="B24" i="2"/>
  <c r="A24" i="2"/>
  <c r="H23" i="2"/>
  <c r="B23" i="2"/>
  <c r="D23" i="2"/>
  <c r="A23" i="2"/>
  <c r="H18" i="2"/>
  <c r="D18" i="2"/>
  <c r="B18" i="2"/>
  <c r="A18" i="2"/>
  <c r="H17" i="2"/>
  <c r="B17" i="2"/>
  <c r="D17" i="2"/>
  <c r="A17" i="2"/>
  <c r="H22" i="2"/>
  <c r="D22" i="2"/>
  <c r="B22" i="2"/>
  <c r="A22" i="2"/>
  <c r="H21" i="2"/>
  <c r="B21" i="2"/>
  <c r="D21" i="2"/>
  <c r="A21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F11" i="1"/>
  <c r="Q30" i="1"/>
  <c r="Q31" i="1"/>
  <c r="Q35" i="1"/>
  <c r="Q34" i="1"/>
  <c r="Q27" i="1"/>
  <c r="Q26" i="1"/>
  <c r="Q24" i="1"/>
  <c r="Q23" i="1"/>
  <c r="Q22" i="1"/>
  <c r="Q21" i="1"/>
  <c r="E28" i="1"/>
  <c r="F28" i="1"/>
  <c r="G11" i="1"/>
  <c r="Q25" i="1"/>
  <c r="E15" i="1"/>
  <c r="C17" i="1"/>
  <c r="E21" i="2"/>
  <c r="E15" i="2"/>
  <c r="E14" i="2"/>
  <c r="E27" i="1"/>
  <c r="F27" i="1" s="1"/>
  <c r="U27" i="1" s="1"/>
  <c r="E32" i="1"/>
  <c r="F32" i="1" s="1"/>
  <c r="G32" i="1" s="1"/>
  <c r="K32" i="1" s="1"/>
  <c r="E34" i="1"/>
  <c r="F34" i="1"/>
  <c r="E25" i="1"/>
  <c r="F25" i="1"/>
  <c r="G25" i="1" s="1"/>
  <c r="K25" i="1" s="1"/>
  <c r="E29" i="1"/>
  <c r="F29" i="1" s="1"/>
  <c r="G29" i="1" s="1"/>
  <c r="K29" i="1" s="1"/>
  <c r="E23" i="1"/>
  <c r="F23" i="1" s="1"/>
  <c r="G23" i="1" s="1"/>
  <c r="K23" i="1" s="1"/>
  <c r="E21" i="1"/>
  <c r="F21" i="1"/>
  <c r="G21" i="1" s="1"/>
  <c r="K21" i="1" s="1"/>
  <c r="E26" i="1"/>
  <c r="F26" i="1"/>
  <c r="G26" i="1" s="1"/>
  <c r="K26" i="1" s="1"/>
  <c r="E31" i="1"/>
  <c r="F31" i="1" s="1"/>
  <c r="G31" i="1" s="1"/>
  <c r="J31" i="1" s="1"/>
  <c r="E22" i="1"/>
  <c r="F22" i="1"/>
  <c r="G22" i="1" s="1"/>
  <c r="K22" i="1" s="1"/>
  <c r="E33" i="1"/>
  <c r="F33" i="1"/>
  <c r="G33" i="1" s="1"/>
  <c r="K33" i="1" s="1"/>
  <c r="G28" i="1"/>
  <c r="K28" i="1" s="1"/>
  <c r="E35" i="1"/>
  <c r="F35" i="1" s="1"/>
  <c r="G35" i="1" s="1"/>
  <c r="J35" i="1" s="1"/>
  <c r="E24" i="1"/>
  <c r="F24" i="1"/>
  <c r="G24" i="1" s="1"/>
  <c r="K24" i="1" s="1"/>
  <c r="U34" i="1"/>
  <c r="E30" i="1"/>
  <c r="E18" i="2"/>
  <c r="F30" i="1"/>
  <c r="G30" i="1" s="1"/>
  <c r="J30" i="1" s="1"/>
  <c r="E17" i="2"/>
  <c r="E11" i="2"/>
  <c r="E12" i="2"/>
  <c r="E23" i="2"/>
  <c r="E19" i="2"/>
  <c r="E24" i="2"/>
  <c r="E22" i="2"/>
  <c r="C12" i="1"/>
  <c r="E13" i="2" l="1"/>
  <c r="E16" i="2"/>
  <c r="E20" i="2"/>
  <c r="C16" i="1"/>
  <c r="D18" i="1" s="1"/>
  <c r="C11" i="1"/>
  <c r="C15" i="1" l="1"/>
  <c r="O34" i="1"/>
  <c r="O29" i="1"/>
  <c r="O22" i="1"/>
  <c r="O31" i="1"/>
  <c r="O33" i="1"/>
  <c r="O28" i="1"/>
  <c r="O35" i="1"/>
  <c r="O21" i="1"/>
  <c r="O25" i="1"/>
  <c r="O26" i="1"/>
  <c r="O27" i="1"/>
  <c r="O24" i="1"/>
  <c r="O23" i="1"/>
  <c r="O30" i="1"/>
  <c r="O32" i="1"/>
  <c r="C18" i="1" l="1"/>
  <c r="E16" i="1"/>
  <c r="E17" i="1" s="1"/>
</calcChain>
</file>

<file path=xl/sharedStrings.xml><?xml version="1.0" encoding="utf-8"?>
<sst xmlns="http://schemas.openxmlformats.org/spreadsheetml/2006/main" count="204" uniqueCount="127">
  <si>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</si>
  <si>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</si>
  <si>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</si>
  <si>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</si>
  <si>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</si>
  <si>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</si>
  <si>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</si>
  <si>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</si>
  <si>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</si>
  <si>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</si>
  <si>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</si>
  <si>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</si>
  <si>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</si>
  <si>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</si>
  <si>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</si>
  <si>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</si>
  <si>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</si>
  <si>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</si>
  <si>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</si>
  <si>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</si>
  <si>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</si>
  <si>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</si>
  <si>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</si>
  <si>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</si>
  <si>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</si>
  <si>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</si>
  <si>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</si>
  <si>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</si>
  <si>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</si>
  <si>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</si>
  <si>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</si>
  <si>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</si>
  <si>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</si>
  <si>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</si>
  <si>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</si>
  <si>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</si>
  <si>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</si>
  <si>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</si>
  <si>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V0425 And / G3645-1873 </t>
  </si>
  <si>
    <t xml:space="preserve">EA        </t>
  </si>
  <si>
    <t>IBVS 4887</t>
  </si>
  <si>
    <t>OEJV 0074</t>
  </si>
  <si>
    <t>CCD</t>
  </si>
  <si>
    <t>OEJV 0003</t>
  </si>
  <si>
    <t>IBVS 6070</t>
  </si>
  <si>
    <t>II</t>
  </si>
  <si>
    <t>IBVS 5984</t>
  </si>
  <si>
    <t>IBVS 6152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</si>
  <si>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</si>
  <si>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</si>
  <si>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</si>
  <si>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</si>
  <si>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</si>
  <si>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</si>
  <si>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</si>
  <si>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</si>
  <si>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</si>
  <si>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</si>
  <si>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2450713.5217 </t>
  </si>
  <si>
    <t> 22.09.1997 00:31 </t>
  </si>
  <si>
    <t> 0.0123 </t>
  </si>
  <si>
    <t>E </t>
  </si>
  <si>
    <t>?</t>
  </si>
  <si>
    <t> J.Safar </t>
  </si>
  <si>
    <t>IBVS 4887 </t>
  </si>
  <si>
    <t>2451780.48969 </t>
  </si>
  <si>
    <t> 23.08.2000 23:45 </t>
  </si>
  <si>
    <t> 0.00227 </t>
  </si>
  <si>
    <t>C </t>
  </si>
  <si>
    <t>o</t>
  </si>
  <si>
    <t> J.Šafár </t>
  </si>
  <si>
    <t>OEJV 0074 </t>
  </si>
  <si>
    <t>2451783.32864 </t>
  </si>
  <si>
    <t> 26.08.2000 19:53 </t>
  </si>
  <si>
    <t> -0.00026 </t>
  </si>
  <si>
    <t>2451898.40984 </t>
  </si>
  <si>
    <t> 19.12.2000 21:50 </t>
  </si>
  <si>
    <t> 0.00075 </t>
  </si>
  <si>
    <t>2452857.40218 </t>
  </si>
  <si>
    <t> 05.08.2003 21:39 </t>
  </si>
  <si>
    <t> -0.00843 </t>
  </si>
  <si>
    <t> K.Koss </t>
  </si>
  <si>
    <t>2453387.348 </t>
  </si>
  <si>
    <t> 16.01.2005 20:21 </t>
  </si>
  <si>
    <t> 0.000 </t>
  </si>
  <si>
    <t>V </t>
  </si>
  <si>
    <t> K.Locher </t>
  </si>
  <si>
    <t>OEJV 0003 </t>
  </si>
  <si>
    <t>2454360.5331 </t>
  </si>
  <si>
    <t> 17.09.2007 00:47 </t>
  </si>
  <si>
    <t> -0.0236 </t>
  </si>
  <si>
    <t>-I</t>
  </si>
  <si>
    <t> F.Agerer </t>
  </si>
  <si>
    <t>BAVM 193 </t>
  </si>
  <si>
    <t>2454390.3693 </t>
  </si>
  <si>
    <t> 16.10.2007 20:51 </t>
  </si>
  <si>
    <t>2170</t>
  </si>
  <si>
    <t> -0.0230 </t>
  </si>
  <si>
    <t>2455481.4887 </t>
  </si>
  <si>
    <t> 11.10.2010 23:43 </t>
  </si>
  <si>
    <t>2938</t>
  </si>
  <si>
    <t> -0.0342 </t>
  </si>
  <si>
    <t>BAVM 215 </t>
  </si>
  <si>
    <t>2455491.4340 </t>
  </si>
  <si>
    <t> 21.10.2010 22:24 </t>
  </si>
  <si>
    <t>2945</t>
  </si>
  <si>
    <t> -0.0341 </t>
  </si>
  <si>
    <t>2455839.5153 </t>
  </si>
  <si>
    <t> 05.10.2011 00:22 </t>
  </si>
  <si>
    <t>3190</t>
  </si>
  <si>
    <t> -0.0349 </t>
  </si>
  <si>
    <t>BAVM 225 </t>
  </si>
  <si>
    <t>2455849.4612 </t>
  </si>
  <si>
    <t> 14.10.2011 23:04 </t>
  </si>
  <si>
    <t>3197</t>
  </si>
  <si>
    <t>2456219.5655 </t>
  </si>
  <si>
    <t> 19.10.2012 01:34 </t>
  </si>
  <si>
    <t>3457.5</t>
  </si>
  <si>
    <t> -0.0334 </t>
  </si>
  <si>
    <t>BAVM 231 </t>
  </si>
  <si>
    <t>2456963.3123 </t>
  </si>
  <si>
    <t> 01.11.2014 19:29 </t>
  </si>
  <si>
    <t>3981</t>
  </si>
  <si>
    <t> -0.0456 </t>
  </si>
  <si>
    <t> W.Moschner &amp; P.Frank </t>
  </si>
  <si>
    <t>BAVM 239 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</si>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</sst>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2" fillId="0" borderId="0" xfId="0" applyFont="1" applyAlignment="1"/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>
      <alignment vertical="top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19" fillId="0" borderId="3" xfId="0" applyFont="1" applyBorder="1" applyAlignment="1">
      <alignment horizont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V0425 And - O-C Diagr.</a:t>
            </a:r>
          </a:p>
        </c:rich>
      </c:tx>
      <c:layout>
        <c:manualLayout>
          <c:xMode val="edge"/>
          <c:yMode val="edge"/>
          <c:x val="0.3729323308270676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0">
                    <c:v>3.5000000000000001E-3</c:v>
                  </c:pt>
                  <c:pt idx="1">
                    <c:v>2.5999999999999999E-3</c:v>
                  </c:pt>
                  <c:pt idx="2">
                    <c:v>1.6000000000000001E-3</c:v>
                  </c:pt>
                  <c:pt idx="3">
                    <c:v>1.2999999999999999E-3</c:v>
                  </c:pt>
                  <c:pt idx="5">
                    <c:v>0</c:v>
                  </c:pt>
                  <c:pt idx="6">
                    <c:v>8.9999999999999993E-3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8.9999999999999998E-4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1.3899999999999999E-2</c:v>
                  </c:pt>
                  <c:pt idx="14">
                    <c:v>1E-4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0">
                    <c:v>3.5000000000000001E-3</c:v>
                  </c:pt>
                  <c:pt idx="1">
                    <c:v>2.5999999999999999E-3</c:v>
                  </c:pt>
                  <c:pt idx="2">
                    <c:v>1.6000000000000001E-3</c:v>
                  </c:pt>
                  <c:pt idx="3">
                    <c:v>1.2999999999999999E-3</c:v>
                  </c:pt>
                  <c:pt idx="5">
                    <c:v>0</c:v>
                  </c:pt>
                  <c:pt idx="6">
                    <c:v>8.9999999999999993E-3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8.9999999999999998E-4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1.3899999999999999E-2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-1258</c:v>
                </c:pt>
                <c:pt idx="1">
                  <c:v>-507</c:v>
                </c:pt>
                <c:pt idx="2">
                  <c:v>-505</c:v>
                </c:pt>
                <c:pt idx="3">
                  <c:v>-424</c:v>
                </c:pt>
                <c:pt idx="4">
                  <c:v>0</c:v>
                </c:pt>
                <c:pt idx="5">
                  <c:v>251</c:v>
                </c:pt>
                <c:pt idx="6">
                  <c:v>624</c:v>
                </c:pt>
                <c:pt idx="7">
                  <c:v>1309</c:v>
                </c:pt>
                <c:pt idx="8">
                  <c:v>1330</c:v>
                </c:pt>
                <c:pt idx="9">
                  <c:v>2098</c:v>
                </c:pt>
                <c:pt idx="10">
                  <c:v>2105</c:v>
                </c:pt>
                <c:pt idx="11">
                  <c:v>2350</c:v>
                </c:pt>
                <c:pt idx="12">
                  <c:v>2357</c:v>
                </c:pt>
                <c:pt idx="13">
                  <c:v>2617.5</c:v>
                </c:pt>
                <c:pt idx="14">
                  <c:v>3141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60-4CDC-9C70-2E1215CA0B6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3.5000000000000001E-3</c:v>
                  </c:pt>
                  <c:pt idx="1">
                    <c:v>2.5999999999999999E-3</c:v>
                  </c:pt>
                  <c:pt idx="2">
                    <c:v>1.6000000000000001E-3</c:v>
                  </c:pt>
                  <c:pt idx="3">
                    <c:v>1.2999999999999999E-3</c:v>
                  </c:pt>
                  <c:pt idx="5">
                    <c:v>0</c:v>
                  </c:pt>
                  <c:pt idx="6">
                    <c:v>8.9999999999999993E-3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8.9999999999999998E-4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1.3899999999999999E-2</c:v>
                  </c:pt>
                  <c:pt idx="14">
                    <c:v>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3.5000000000000001E-3</c:v>
                  </c:pt>
                  <c:pt idx="1">
                    <c:v>2.5999999999999999E-3</c:v>
                  </c:pt>
                  <c:pt idx="2">
                    <c:v>1.6000000000000001E-3</c:v>
                  </c:pt>
                  <c:pt idx="3">
                    <c:v>1.2999999999999999E-3</c:v>
                  </c:pt>
                  <c:pt idx="5">
                    <c:v>0</c:v>
                  </c:pt>
                  <c:pt idx="6">
                    <c:v>8.9999999999999993E-3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8.9999999999999998E-4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1.3899999999999999E-2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-1258</c:v>
                </c:pt>
                <c:pt idx="1">
                  <c:v>-507</c:v>
                </c:pt>
                <c:pt idx="2">
                  <c:v>-505</c:v>
                </c:pt>
                <c:pt idx="3">
                  <c:v>-424</c:v>
                </c:pt>
                <c:pt idx="4">
                  <c:v>0</c:v>
                </c:pt>
                <c:pt idx="5">
                  <c:v>251</c:v>
                </c:pt>
                <c:pt idx="6">
                  <c:v>624</c:v>
                </c:pt>
                <c:pt idx="7">
                  <c:v>1309</c:v>
                </c:pt>
                <c:pt idx="8">
                  <c:v>1330</c:v>
                </c:pt>
                <c:pt idx="9">
                  <c:v>2098</c:v>
                </c:pt>
                <c:pt idx="10">
                  <c:v>2105</c:v>
                </c:pt>
                <c:pt idx="11">
                  <c:v>2350</c:v>
                </c:pt>
                <c:pt idx="12">
                  <c:v>2357</c:v>
                </c:pt>
                <c:pt idx="13">
                  <c:v>2617.5</c:v>
                </c:pt>
                <c:pt idx="14">
                  <c:v>3141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60-4CDC-9C70-2E1215CA0B6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3.5000000000000001E-3</c:v>
                  </c:pt>
                  <c:pt idx="1">
                    <c:v>2.5999999999999999E-3</c:v>
                  </c:pt>
                  <c:pt idx="2">
                    <c:v>1.6000000000000001E-3</c:v>
                  </c:pt>
                  <c:pt idx="3">
                    <c:v>1.2999999999999999E-3</c:v>
                  </c:pt>
                  <c:pt idx="5">
                    <c:v>0</c:v>
                  </c:pt>
                  <c:pt idx="6">
                    <c:v>8.9999999999999993E-3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8.9999999999999998E-4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1.3899999999999999E-2</c:v>
                  </c:pt>
                  <c:pt idx="14">
                    <c:v>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3.5000000000000001E-3</c:v>
                  </c:pt>
                  <c:pt idx="1">
                    <c:v>2.5999999999999999E-3</c:v>
                  </c:pt>
                  <c:pt idx="2">
                    <c:v>1.6000000000000001E-3</c:v>
                  </c:pt>
                  <c:pt idx="3">
                    <c:v>1.2999999999999999E-3</c:v>
                  </c:pt>
                  <c:pt idx="5">
                    <c:v>0</c:v>
                  </c:pt>
                  <c:pt idx="6">
                    <c:v>8.9999999999999993E-3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8.9999999999999998E-4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1.3899999999999999E-2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-1258</c:v>
                </c:pt>
                <c:pt idx="1">
                  <c:v>-507</c:v>
                </c:pt>
                <c:pt idx="2">
                  <c:v>-505</c:v>
                </c:pt>
                <c:pt idx="3">
                  <c:v>-424</c:v>
                </c:pt>
                <c:pt idx="4">
                  <c:v>0</c:v>
                </c:pt>
                <c:pt idx="5">
                  <c:v>251</c:v>
                </c:pt>
                <c:pt idx="6">
                  <c:v>624</c:v>
                </c:pt>
                <c:pt idx="7">
                  <c:v>1309</c:v>
                </c:pt>
                <c:pt idx="8">
                  <c:v>1330</c:v>
                </c:pt>
                <c:pt idx="9">
                  <c:v>2098</c:v>
                </c:pt>
                <c:pt idx="10">
                  <c:v>2105</c:v>
                </c:pt>
                <c:pt idx="11">
                  <c:v>2350</c:v>
                </c:pt>
                <c:pt idx="12">
                  <c:v>2357</c:v>
                </c:pt>
                <c:pt idx="13">
                  <c:v>2617.5</c:v>
                </c:pt>
                <c:pt idx="14">
                  <c:v>3141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9">
                  <c:v>1.3560000006691553E-3</c:v>
                </c:pt>
                <c:pt idx="10">
                  <c:v>1.5599999969708733E-3</c:v>
                </c:pt>
                <c:pt idx="14">
                  <c:v>5.651999992551282E-3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60-4CDC-9C70-2E1215CA0B6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3.5000000000000001E-3</c:v>
                  </c:pt>
                  <c:pt idx="1">
                    <c:v>2.5999999999999999E-3</c:v>
                  </c:pt>
                  <c:pt idx="2">
                    <c:v>1.6000000000000001E-3</c:v>
                  </c:pt>
                  <c:pt idx="3">
                    <c:v>1.2999999999999999E-3</c:v>
                  </c:pt>
                  <c:pt idx="5">
                    <c:v>0</c:v>
                  </c:pt>
                  <c:pt idx="6">
                    <c:v>8.9999999999999993E-3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8.9999999999999998E-4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1.3899999999999999E-2</c:v>
                  </c:pt>
                  <c:pt idx="14">
                    <c:v>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3.5000000000000001E-3</c:v>
                  </c:pt>
                  <c:pt idx="1">
                    <c:v>2.5999999999999999E-3</c:v>
                  </c:pt>
                  <c:pt idx="2">
                    <c:v>1.6000000000000001E-3</c:v>
                  </c:pt>
                  <c:pt idx="3">
                    <c:v>1.2999999999999999E-3</c:v>
                  </c:pt>
                  <c:pt idx="5">
                    <c:v>0</c:v>
                  </c:pt>
                  <c:pt idx="6">
                    <c:v>8.9999999999999993E-3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8.9999999999999998E-4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1.3899999999999999E-2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-1258</c:v>
                </c:pt>
                <c:pt idx="1">
                  <c:v>-507</c:v>
                </c:pt>
                <c:pt idx="2">
                  <c:v>-505</c:v>
                </c:pt>
                <c:pt idx="3">
                  <c:v>-424</c:v>
                </c:pt>
                <c:pt idx="4">
                  <c:v>0</c:v>
                </c:pt>
                <c:pt idx="5">
                  <c:v>251</c:v>
                </c:pt>
                <c:pt idx="6">
                  <c:v>624</c:v>
                </c:pt>
                <c:pt idx="7">
                  <c:v>1309</c:v>
                </c:pt>
                <c:pt idx="8">
                  <c:v>1330</c:v>
                </c:pt>
                <c:pt idx="9">
                  <c:v>2098</c:v>
                </c:pt>
                <c:pt idx="10">
                  <c:v>2105</c:v>
                </c:pt>
                <c:pt idx="11">
                  <c:v>2350</c:v>
                </c:pt>
                <c:pt idx="12">
                  <c:v>2357</c:v>
                </c:pt>
                <c:pt idx="13">
                  <c:v>2617.5</c:v>
                </c:pt>
                <c:pt idx="14">
                  <c:v>3141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0">
                  <c:v>-2.4760000087553635E-3</c:v>
                </c:pt>
                <c:pt idx="1">
                  <c:v>-1.2140000035287812E-3</c:v>
                </c:pt>
                <c:pt idx="2">
                  <c:v>-3.7200000006123446E-3</c:v>
                </c:pt>
                <c:pt idx="3">
                  <c:v>-1.4880000017001294E-3</c:v>
                </c:pt>
                <c:pt idx="4">
                  <c:v>0</c:v>
                </c:pt>
                <c:pt idx="5">
                  <c:v>-5.4800000361865386E-4</c:v>
                </c:pt>
                <c:pt idx="7">
                  <c:v>1.4799999917158857E-4</c:v>
                </c:pt>
                <c:pt idx="8">
                  <c:v>1.0599999950500205E-3</c:v>
                </c:pt>
                <c:pt idx="11">
                  <c:v>4.4999999954598024E-3</c:v>
                </c:pt>
                <c:pt idx="12">
                  <c:v>5.3039999984321184E-3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A60-4CDC-9C70-2E1215CA0B6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3.5000000000000001E-3</c:v>
                  </c:pt>
                  <c:pt idx="1">
                    <c:v>2.5999999999999999E-3</c:v>
                  </c:pt>
                  <c:pt idx="2">
                    <c:v>1.6000000000000001E-3</c:v>
                  </c:pt>
                  <c:pt idx="3">
                    <c:v>1.2999999999999999E-3</c:v>
                  </c:pt>
                  <c:pt idx="5">
                    <c:v>0</c:v>
                  </c:pt>
                  <c:pt idx="6">
                    <c:v>8.9999999999999993E-3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8.9999999999999998E-4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1.3899999999999999E-2</c:v>
                  </c:pt>
                  <c:pt idx="14">
                    <c:v>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3.5000000000000001E-3</c:v>
                  </c:pt>
                  <c:pt idx="1">
                    <c:v>2.5999999999999999E-3</c:v>
                  </c:pt>
                  <c:pt idx="2">
                    <c:v>1.6000000000000001E-3</c:v>
                  </c:pt>
                  <c:pt idx="3">
                    <c:v>1.2999999999999999E-3</c:v>
                  </c:pt>
                  <c:pt idx="5">
                    <c:v>0</c:v>
                  </c:pt>
                  <c:pt idx="6">
                    <c:v>8.9999999999999993E-3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8.9999999999999998E-4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1.3899999999999999E-2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-1258</c:v>
                </c:pt>
                <c:pt idx="1">
                  <c:v>-507</c:v>
                </c:pt>
                <c:pt idx="2">
                  <c:v>-505</c:v>
                </c:pt>
                <c:pt idx="3">
                  <c:v>-424</c:v>
                </c:pt>
                <c:pt idx="4">
                  <c:v>0</c:v>
                </c:pt>
                <c:pt idx="5">
                  <c:v>251</c:v>
                </c:pt>
                <c:pt idx="6">
                  <c:v>624</c:v>
                </c:pt>
                <c:pt idx="7">
                  <c:v>1309</c:v>
                </c:pt>
                <c:pt idx="8">
                  <c:v>1330</c:v>
                </c:pt>
                <c:pt idx="9">
                  <c:v>2098</c:v>
                </c:pt>
                <c:pt idx="10">
                  <c:v>2105</c:v>
                </c:pt>
                <c:pt idx="11">
                  <c:v>2350</c:v>
                </c:pt>
                <c:pt idx="12">
                  <c:v>2357</c:v>
                </c:pt>
                <c:pt idx="13">
                  <c:v>2617.5</c:v>
                </c:pt>
                <c:pt idx="14">
                  <c:v>3141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A60-4CDC-9C70-2E1215CA0B6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3.5000000000000001E-3</c:v>
                  </c:pt>
                  <c:pt idx="1">
                    <c:v>2.5999999999999999E-3</c:v>
                  </c:pt>
                  <c:pt idx="2">
                    <c:v>1.6000000000000001E-3</c:v>
                  </c:pt>
                  <c:pt idx="3">
                    <c:v>1.2999999999999999E-3</c:v>
                  </c:pt>
                  <c:pt idx="5">
                    <c:v>0</c:v>
                  </c:pt>
                  <c:pt idx="6">
                    <c:v>8.9999999999999993E-3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8.9999999999999998E-4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1.3899999999999999E-2</c:v>
                  </c:pt>
                  <c:pt idx="14">
                    <c:v>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3.5000000000000001E-3</c:v>
                  </c:pt>
                  <c:pt idx="1">
                    <c:v>2.5999999999999999E-3</c:v>
                  </c:pt>
                  <c:pt idx="2">
                    <c:v>1.6000000000000001E-3</c:v>
                  </c:pt>
                  <c:pt idx="3">
                    <c:v>1.2999999999999999E-3</c:v>
                  </c:pt>
                  <c:pt idx="5">
                    <c:v>0</c:v>
                  </c:pt>
                  <c:pt idx="6">
                    <c:v>8.9999999999999993E-3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8.9999999999999998E-4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1.3899999999999999E-2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-1258</c:v>
                </c:pt>
                <c:pt idx="1">
                  <c:v>-507</c:v>
                </c:pt>
                <c:pt idx="2">
                  <c:v>-505</c:v>
                </c:pt>
                <c:pt idx="3">
                  <c:v>-424</c:v>
                </c:pt>
                <c:pt idx="4">
                  <c:v>0</c:v>
                </c:pt>
                <c:pt idx="5">
                  <c:v>251</c:v>
                </c:pt>
                <c:pt idx="6">
                  <c:v>624</c:v>
                </c:pt>
                <c:pt idx="7">
                  <c:v>1309</c:v>
                </c:pt>
                <c:pt idx="8">
                  <c:v>1330</c:v>
                </c:pt>
                <c:pt idx="9">
                  <c:v>2098</c:v>
                </c:pt>
                <c:pt idx="10">
                  <c:v>2105</c:v>
                </c:pt>
                <c:pt idx="11">
                  <c:v>2350</c:v>
                </c:pt>
                <c:pt idx="12">
                  <c:v>2357</c:v>
                </c:pt>
                <c:pt idx="13">
                  <c:v>2617.5</c:v>
                </c:pt>
                <c:pt idx="14">
                  <c:v>3141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A60-4CDC-9C70-2E1215CA0B6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3.5000000000000001E-3</c:v>
                  </c:pt>
                  <c:pt idx="1">
                    <c:v>2.5999999999999999E-3</c:v>
                  </c:pt>
                  <c:pt idx="2">
                    <c:v>1.6000000000000001E-3</c:v>
                  </c:pt>
                  <c:pt idx="3">
                    <c:v>1.2999999999999999E-3</c:v>
                  </c:pt>
                  <c:pt idx="5">
                    <c:v>0</c:v>
                  </c:pt>
                  <c:pt idx="6">
                    <c:v>8.9999999999999993E-3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8.9999999999999998E-4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1.3899999999999999E-2</c:v>
                  </c:pt>
                  <c:pt idx="14">
                    <c:v>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3.5000000000000001E-3</c:v>
                  </c:pt>
                  <c:pt idx="1">
                    <c:v>2.5999999999999999E-3</c:v>
                  </c:pt>
                  <c:pt idx="2">
                    <c:v>1.6000000000000001E-3</c:v>
                  </c:pt>
                  <c:pt idx="3">
                    <c:v>1.2999999999999999E-3</c:v>
                  </c:pt>
                  <c:pt idx="5">
                    <c:v>0</c:v>
                  </c:pt>
                  <c:pt idx="6">
                    <c:v>8.9999999999999993E-3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8.9999999999999998E-4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1.3899999999999999E-2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-1258</c:v>
                </c:pt>
                <c:pt idx="1">
                  <c:v>-507</c:v>
                </c:pt>
                <c:pt idx="2">
                  <c:v>-505</c:v>
                </c:pt>
                <c:pt idx="3">
                  <c:v>-424</c:v>
                </c:pt>
                <c:pt idx="4">
                  <c:v>0</c:v>
                </c:pt>
                <c:pt idx="5">
                  <c:v>251</c:v>
                </c:pt>
                <c:pt idx="6">
                  <c:v>624</c:v>
                </c:pt>
                <c:pt idx="7">
                  <c:v>1309</c:v>
                </c:pt>
                <c:pt idx="8">
                  <c:v>1330</c:v>
                </c:pt>
                <c:pt idx="9">
                  <c:v>2098</c:v>
                </c:pt>
                <c:pt idx="10">
                  <c:v>2105</c:v>
                </c:pt>
                <c:pt idx="11">
                  <c:v>2350</c:v>
                </c:pt>
                <c:pt idx="12">
                  <c:v>2357</c:v>
                </c:pt>
                <c:pt idx="13">
                  <c:v>2617.5</c:v>
                </c:pt>
                <c:pt idx="14">
                  <c:v>3141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A60-4CDC-9C70-2E1215CA0B6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-1258</c:v>
                </c:pt>
                <c:pt idx="1">
                  <c:v>-507</c:v>
                </c:pt>
                <c:pt idx="2">
                  <c:v>-505</c:v>
                </c:pt>
                <c:pt idx="3">
                  <c:v>-424</c:v>
                </c:pt>
                <c:pt idx="4">
                  <c:v>0</c:v>
                </c:pt>
                <c:pt idx="5">
                  <c:v>251</c:v>
                </c:pt>
                <c:pt idx="6">
                  <c:v>624</c:v>
                </c:pt>
                <c:pt idx="7">
                  <c:v>1309</c:v>
                </c:pt>
                <c:pt idx="8">
                  <c:v>1330</c:v>
                </c:pt>
                <c:pt idx="9">
                  <c:v>2098</c:v>
                </c:pt>
                <c:pt idx="10">
                  <c:v>2105</c:v>
                </c:pt>
                <c:pt idx="11">
                  <c:v>2350</c:v>
                </c:pt>
                <c:pt idx="12">
                  <c:v>2357</c:v>
                </c:pt>
                <c:pt idx="13">
                  <c:v>2617.5</c:v>
                </c:pt>
                <c:pt idx="14">
                  <c:v>3141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-3.3462453926902721E-3</c:v>
                </c:pt>
                <c:pt idx="1">
                  <c:v>-1.9379020571823392E-3</c:v>
                </c:pt>
                <c:pt idx="2">
                  <c:v>-1.9341514757295884E-3</c:v>
                </c:pt>
                <c:pt idx="3">
                  <c:v>-1.7822529268931801E-3</c:v>
                </c:pt>
                <c:pt idx="4">
                  <c:v>-9.871296589100062E-4</c:v>
                </c:pt>
                <c:pt idx="5">
                  <c:v>-5.1643168658977823E-4</c:v>
                </c:pt>
                <c:pt idx="6">
                  <c:v>1.8305175434824971E-4</c:v>
                </c:pt>
                <c:pt idx="7">
                  <c:v>1.4676259019154058E-3</c:v>
                </c:pt>
                <c:pt idx="8">
                  <c:v>1.5070070071692893E-3</c:v>
                </c:pt>
                <c:pt idx="9">
                  <c:v>2.9472302850256041E-3</c:v>
                </c:pt>
                <c:pt idx="10">
                  <c:v>2.960357320110232E-3</c:v>
                </c:pt>
                <c:pt idx="11">
                  <c:v>3.4198035480722073E-3</c:v>
                </c:pt>
                <c:pt idx="12">
                  <c:v>3.432930583156836E-3</c:v>
                </c:pt>
                <c:pt idx="13">
                  <c:v>3.9214438173776301E-3</c:v>
                </c:pt>
                <c:pt idx="14">
                  <c:v>4.9031585126351569E-3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A60-4CDC-9C70-2E1215CA0B6C}"/>
            </c:ext>
          </c:extLst>
        </c:ser>
        <c:ser>
          <c:idx val="8"/>
          <c:order val="8"/>
          <c:tx>
            <c:strRef>
              <c:f>Active!$U$27</c:f>
              <c:strCache>
                <c:ptCount val="1"/>
                <c:pt idx="0">
                  <c:v>0.013728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Active!$D$21:$D$50</c:f>
                <c:numCache>
                  <c:formatCode>General</c:formatCode>
                  <c:ptCount val="30"/>
                  <c:pt idx="0">
                    <c:v>3.5000000000000001E-3</c:v>
                  </c:pt>
                  <c:pt idx="1">
                    <c:v>2.5999999999999999E-3</c:v>
                  </c:pt>
                  <c:pt idx="2">
                    <c:v>1.6000000000000001E-3</c:v>
                  </c:pt>
                  <c:pt idx="3">
                    <c:v>1.2999999999999999E-3</c:v>
                  </c:pt>
                  <c:pt idx="5">
                    <c:v>0</c:v>
                  </c:pt>
                  <c:pt idx="6">
                    <c:v>8.9999999999999993E-3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8.9999999999999998E-4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1.3899999999999999E-2</c:v>
                  </c:pt>
                  <c:pt idx="14">
                    <c:v>1E-4</c:v>
                  </c:pt>
                </c:numCache>
              </c:numRef>
            </c:plus>
            <c:minus>
              <c:numRef>
                <c:f>Active!$D$21:$D$50</c:f>
                <c:numCache>
                  <c:formatCode>General</c:formatCode>
                  <c:ptCount val="30"/>
                  <c:pt idx="0">
                    <c:v>3.5000000000000001E-3</c:v>
                  </c:pt>
                  <c:pt idx="1">
                    <c:v>2.5999999999999999E-3</c:v>
                  </c:pt>
                  <c:pt idx="2">
                    <c:v>1.6000000000000001E-3</c:v>
                  </c:pt>
                  <c:pt idx="3">
                    <c:v>1.2999999999999999E-3</c:v>
                  </c:pt>
                  <c:pt idx="5">
                    <c:v>0</c:v>
                  </c:pt>
                  <c:pt idx="6">
                    <c:v>8.9999999999999993E-3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8.9999999999999998E-4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1.3899999999999999E-2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-1258</c:v>
                </c:pt>
                <c:pt idx="1">
                  <c:v>-507</c:v>
                </c:pt>
                <c:pt idx="2">
                  <c:v>-505</c:v>
                </c:pt>
                <c:pt idx="3">
                  <c:v>-424</c:v>
                </c:pt>
                <c:pt idx="4">
                  <c:v>0</c:v>
                </c:pt>
                <c:pt idx="5">
                  <c:v>251</c:v>
                </c:pt>
                <c:pt idx="6">
                  <c:v>624</c:v>
                </c:pt>
                <c:pt idx="7">
                  <c:v>1309</c:v>
                </c:pt>
                <c:pt idx="8">
                  <c:v>1330</c:v>
                </c:pt>
                <c:pt idx="9">
                  <c:v>2098</c:v>
                </c:pt>
                <c:pt idx="10">
                  <c:v>2105</c:v>
                </c:pt>
                <c:pt idx="11">
                  <c:v>2350</c:v>
                </c:pt>
                <c:pt idx="12">
                  <c:v>2357</c:v>
                </c:pt>
                <c:pt idx="13">
                  <c:v>2617.5</c:v>
                </c:pt>
                <c:pt idx="14">
                  <c:v>3141</c:v>
                </c:pt>
              </c:numCache>
            </c:numRef>
          </c:xVal>
          <c:yVal>
            <c:numRef>
              <c:f>Active!$U$21:$U$982</c:f>
              <c:numCache>
                <c:formatCode>General</c:formatCode>
                <c:ptCount val="962"/>
                <c:pt idx="6">
                  <c:v>1.3727999998081941E-2</c:v>
                </c:pt>
                <c:pt idx="13">
                  <c:v>9.9599999957717955E-3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A60-4CDC-9C70-2E1215CA0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3716640"/>
        <c:axId val="1"/>
      </c:scatterChart>
      <c:valAx>
        <c:axId val="673716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7166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699248120300752"/>
          <c:y val="0.92375366568914952"/>
          <c:w val="0.748872180451127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16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4522DF1-0A3B-01F6-4342-D1ABB3563B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93" TargetMode="External"/><Relationship Id="rId13" Type="http://schemas.openxmlformats.org/officeDocument/2006/relationships/hyperlink" Target="http://www.bav-astro.de/sfs/BAVM_link.php?BAVMnr=225" TargetMode="External"/><Relationship Id="rId3" Type="http://schemas.openxmlformats.org/officeDocument/2006/relationships/hyperlink" Target="http://var.astro.cz/oejv/issues/oejv0074.pdf" TargetMode="External"/><Relationship Id="rId7" Type="http://schemas.openxmlformats.org/officeDocument/2006/relationships/hyperlink" Target="http://var.astro.cz/oejv/issues/oejv0003.pdf" TargetMode="External"/><Relationship Id="rId12" Type="http://schemas.openxmlformats.org/officeDocument/2006/relationships/hyperlink" Target="http://www.bav-astro.de/sfs/BAVM_link.php?BAVMnr=225" TargetMode="External"/><Relationship Id="rId2" Type="http://schemas.openxmlformats.org/officeDocument/2006/relationships/hyperlink" Target="http://www.konkoly.hu/cgi-bin/IBVS?4887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var.astro.cz/oejv/issues/oejv0074.pdf" TargetMode="External"/><Relationship Id="rId11" Type="http://schemas.openxmlformats.org/officeDocument/2006/relationships/hyperlink" Target="http://www.bav-astro.de/sfs/BAVM_link.php?BAVMnr=215" TargetMode="External"/><Relationship Id="rId5" Type="http://schemas.openxmlformats.org/officeDocument/2006/relationships/hyperlink" Target="http://var.astro.cz/oejv/issues/oejv0074.pdf" TargetMode="External"/><Relationship Id="rId15" Type="http://schemas.openxmlformats.org/officeDocument/2006/relationships/hyperlink" Target="http://www.bav-astro.de/sfs/BAVM_link.php?BAVMnr=239" TargetMode="External"/><Relationship Id="rId10" Type="http://schemas.openxmlformats.org/officeDocument/2006/relationships/hyperlink" Target="http://www.bav-astro.de/sfs/BAVM_link.php?BAVMnr=215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bav-astro.de/sfs/BAVM_link.php?BAVMnr=193" TargetMode="External"/><Relationship Id="rId14" Type="http://schemas.openxmlformats.org/officeDocument/2006/relationships/hyperlink" Target="http://www.bav-astro.de/sfs/BAVM_link.php?BAVMnr=2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23"/>
  <sheetViews>
    <sheetView tabSelected="1" workbookViewId="0">
      <selection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38</v>
      </c>
    </row>
    <row r="2" spans="1:7" x14ac:dyDescent="0.2">
      <c r="A2" t="s">
        <v>22</v>
      </c>
      <c r="B2" s="33" t="s">
        <v>39</v>
      </c>
      <c r="C2" s="3"/>
      <c r="D2" s="3"/>
    </row>
    <row r="3" spans="1:7" ht="13.5" thickBot="1" x14ac:dyDescent="0.25"/>
    <row r="4" spans="1:7" ht="14.25" thickTop="1" thickBot="1" x14ac:dyDescent="0.25">
      <c r="A4" s="5" t="s">
        <v>37</v>
      </c>
      <c r="C4" s="8">
        <v>52500.800000000003</v>
      </c>
      <c r="D4" s="9">
        <v>1.420728</v>
      </c>
    </row>
    <row r="5" spans="1:7" x14ac:dyDescent="0.2">
      <c r="C5" s="30" t="s">
        <v>35</v>
      </c>
    </row>
    <row r="6" spans="1:7" x14ac:dyDescent="0.2">
      <c r="A6" s="5" t="s">
        <v>0</v>
      </c>
    </row>
    <row r="7" spans="1:7" x14ac:dyDescent="0.2">
      <c r="A7" t="s">
        <v>1</v>
      </c>
      <c r="C7">
        <v>52500.800000000003</v>
      </c>
    </row>
    <row r="8" spans="1:7" x14ac:dyDescent="0.2">
      <c r="A8" t="s">
        <v>2</v>
      </c>
      <c r="C8">
        <v>1.420728</v>
      </c>
      <c r="D8" s="29"/>
    </row>
    <row r="9" spans="1:7" x14ac:dyDescent="0.2">
      <c r="A9" s="11" t="s">
        <v>27</v>
      </c>
      <c r="B9" s="12"/>
      <c r="C9" s="13">
        <v>-9.5</v>
      </c>
      <c r="D9" s="12" t="s">
        <v>28</v>
      </c>
      <c r="E9" s="12"/>
    </row>
    <row r="10" spans="1:7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7" x14ac:dyDescent="0.2">
      <c r="A11" s="12" t="s">
        <v>14</v>
      </c>
      <c r="B11" s="12"/>
      <c r="C11" s="24">
        <f ca="1">INTERCEPT(INDIRECT($G$11):G975,INDIRECT($F$11):F975)</f>
        <v>-9.871296589100062E-4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15</v>
      </c>
      <c r="B12" s="12"/>
      <c r="C12" s="24">
        <f ca="1">SLOPE(INDIRECT($G$11):G975,INDIRECT($F$11):F975)</f>
        <v>1.8752907263754102E-6</v>
      </c>
      <c r="D12" s="3"/>
      <c r="E12" s="12"/>
    </row>
    <row r="13" spans="1:7" x14ac:dyDescent="0.2">
      <c r="A13" s="12" t="s">
        <v>17</v>
      </c>
      <c r="B13" s="12"/>
      <c r="C13" s="3" t="s">
        <v>12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16</v>
      </c>
      <c r="B15" s="12"/>
      <c r="C15" s="15">
        <f ca="1">(C7+C11)+(C8+C12)*INT(MAX(F21:F3516))</f>
        <v>56963.31155115852</v>
      </c>
      <c r="D15" s="16" t="s">
        <v>29</v>
      </c>
      <c r="E15" s="17">
        <f ca="1">TODAY()+15018.5-B9/24</f>
        <v>60319.5</v>
      </c>
    </row>
    <row r="16" spans="1:7" x14ac:dyDescent="0.2">
      <c r="A16" s="18" t="s">
        <v>3</v>
      </c>
      <c r="B16" s="12"/>
      <c r="C16" s="19">
        <f ca="1">+C8+C12</f>
        <v>1.4207298752907265</v>
      </c>
      <c r="D16" s="16" t="s">
        <v>30</v>
      </c>
      <c r="E16" s="17">
        <f ca="1">ROUND(2*(E15-C15)/C16,0)/2+1</f>
        <v>2363.5</v>
      </c>
    </row>
    <row r="17" spans="1:21" ht="13.5" thickBot="1" x14ac:dyDescent="0.25">
      <c r="A17" s="16" t="s">
        <v>26</v>
      </c>
      <c r="B17" s="12"/>
      <c r="C17" s="12">
        <f>COUNT(C21:C2174)</f>
        <v>15</v>
      </c>
      <c r="D17" s="16" t="s">
        <v>31</v>
      </c>
      <c r="E17" s="20">
        <f ca="1">+C15+C16*E16-15018.5-C9/24</f>
        <v>45303.102444741489</v>
      </c>
    </row>
    <row r="18" spans="1:21" ht="14.25" thickTop="1" thickBot="1" x14ac:dyDescent="0.25">
      <c r="A18" s="18" t="s">
        <v>4</v>
      </c>
      <c r="B18" s="12"/>
      <c r="C18" s="21">
        <f ca="1">+C15</f>
        <v>56963.31155115852</v>
      </c>
      <c r="D18" s="22">
        <f ca="1">+C16</f>
        <v>1.4207298752907265</v>
      </c>
      <c r="E18" s="23" t="s">
        <v>32</v>
      </c>
    </row>
    <row r="19" spans="1:21" ht="13.5" thickTop="1" x14ac:dyDescent="0.2">
      <c r="A19" s="27" t="s">
        <v>33</v>
      </c>
      <c r="E19" s="28">
        <v>21</v>
      </c>
    </row>
    <row r="20" spans="1:21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54</v>
      </c>
      <c r="I20" s="7" t="s">
        <v>57</v>
      </c>
      <c r="J20" s="7" t="s">
        <v>51</v>
      </c>
      <c r="K20" s="7" t="s">
        <v>42</v>
      </c>
      <c r="L20" s="7" t="s">
        <v>23</v>
      </c>
      <c r="M20" s="7" t="s">
        <v>24</v>
      </c>
      <c r="N20" s="7" t="s">
        <v>25</v>
      </c>
      <c r="O20" s="7" t="s">
        <v>21</v>
      </c>
      <c r="P20" s="6" t="s">
        <v>20</v>
      </c>
      <c r="Q20" s="4" t="s">
        <v>13</v>
      </c>
      <c r="U20" s="58" t="s">
        <v>126</v>
      </c>
    </row>
    <row r="21" spans="1:21" x14ac:dyDescent="0.2">
      <c r="A21" s="32" t="s">
        <v>40</v>
      </c>
      <c r="B21" s="32"/>
      <c r="C21" s="32">
        <v>50713.521699999998</v>
      </c>
      <c r="D21" s="32">
        <v>3.5000000000000001E-3</v>
      </c>
      <c r="E21">
        <f t="shared" ref="E21:E35" si="0">+(C21-C$7)/C$8</f>
        <v>-1258.0017427685</v>
      </c>
      <c r="F21">
        <f t="shared" ref="F21:F35" si="1">ROUND(2*E21,0)/2</f>
        <v>-1258</v>
      </c>
      <c r="G21">
        <f t="shared" ref="G21:G26" si="2">+C21-(C$7+F21*C$8)</f>
        <v>-2.4760000087553635E-3</v>
      </c>
      <c r="K21">
        <f t="shared" ref="K21:K26" si="3">+G21</f>
        <v>-2.4760000087553635E-3</v>
      </c>
      <c r="O21">
        <f t="shared" ref="O21:O35" ca="1" si="4">+C$11+C$12*$F21</f>
        <v>-3.3462453926902721E-3</v>
      </c>
      <c r="Q21" s="2">
        <f t="shared" ref="Q21:Q35" si="5">+C21-15018.5</f>
        <v>35695.021699999998</v>
      </c>
    </row>
    <row r="22" spans="1:21" x14ac:dyDescent="0.2">
      <c r="A22" s="34" t="s">
        <v>41</v>
      </c>
      <c r="B22" s="31" t="s">
        <v>34</v>
      </c>
      <c r="C22" s="32">
        <v>51780.489690000002</v>
      </c>
      <c r="D22" s="32">
        <v>2.5999999999999999E-3</v>
      </c>
      <c r="E22">
        <f t="shared" si="0"/>
        <v>-507.00085449150066</v>
      </c>
      <c r="F22">
        <f t="shared" si="1"/>
        <v>-507</v>
      </c>
      <c r="G22">
        <f t="shared" si="2"/>
        <v>-1.2140000035287812E-3</v>
      </c>
      <c r="K22">
        <f t="shared" si="3"/>
        <v>-1.2140000035287812E-3</v>
      </c>
      <c r="O22">
        <f t="shared" ca="1" si="4"/>
        <v>-1.9379020571823392E-3</v>
      </c>
      <c r="Q22" s="2">
        <f t="shared" si="5"/>
        <v>36761.989690000002</v>
      </c>
    </row>
    <row r="23" spans="1:21" x14ac:dyDescent="0.2">
      <c r="A23" s="32" t="s">
        <v>41</v>
      </c>
      <c r="B23" s="31" t="s">
        <v>34</v>
      </c>
      <c r="C23" s="32">
        <v>51783.32864</v>
      </c>
      <c r="D23" s="32">
        <v>1.6000000000000001E-3</v>
      </c>
      <c r="E23">
        <f t="shared" si="0"/>
        <v>-505.00261837593348</v>
      </c>
      <c r="F23">
        <f t="shared" si="1"/>
        <v>-505</v>
      </c>
      <c r="G23">
        <f t="shared" si="2"/>
        <v>-3.7200000006123446E-3</v>
      </c>
      <c r="K23">
        <f t="shared" si="3"/>
        <v>-3.7200000006123446E-3</v>
      </c>
      <c r="O23">
        <f t="shared" ca="1" si="4"/>
        <v>-1.9341514757295884E-3</v>
      </c>
      <c r="Q23" s="2">
        <f t="shared" si="5"/>
        <v>36764.82864</v>
      </c>
    </row>
    <row r="24" spans="1:21" x14ac:dyDescent="0.2">
      <c r="A24" s="32" t="s">
        <v>41</v>
      </c>
      <c r="B24" s="31" t="s">
        <v>34</v>
      </c>
      <c r="C24" s="32">
        <v>51898.40984</v>
      </c>
      <c r="D24" s="32">
        <v>1.2999999999999999E-3</v>
      </c>
      <c r="E24">
        <f t="shared" si="0"/>
        <v>-424.00104735037434</v>
      </c>
      <c r="F24">
        <f t="shared" si="1"/>
        <v>-424</v>
      </c>
      <c r="G24">
        <f t="shared" si="2"/>
        <v>-1.4880000017001294E-3</v>
      </c>
      <c r="K24">
        <f t="shared" si="3"/>
        <v>-1.4880000017001294E-3</v>
      </c>
      <c r="O24">
        <f t="shared" ca="1" si="4"/>
        <v>-1.7822529268931801E-3</v>
      </c>
      <c r="Q24" s="2">
        <f t="shared" si="5"/>
        <v>36879.90984</v>
      </c>
    </row>
    <row r="25" spans="1:21" x14ac:dyDescent="0.2">
      <c r="A25" s="32" t="s">
        <v>36</v>
      </c>
      <c r="B25" s="31" t="s">
        <v>34</v>
      </c>
      <c r="C25" s="32">
        <v>52500.800000000003</v>
      </c>
      <c r="D25" s="35"/>
      <c r="E25">
        <f t="shared" si="0"/>
        <v>0</v>
      </c>
      <c r="F25">
        <f t="shared" si="1"/>
        <v>0</v>
      </c>
      <c r="G25">
        <f t="shared" si="2"/>
        <v>0</v>
      </c>
      <c r="K25">
        <f t="shared" si="3"/>
        <v>0</v>
      </c>
      <c r="O25">
        <f t="shared" ca="1" si="4"/>
        <v>-9.871296589100062E-4</v>
      </c>
      <c r="Q25" s="2">
        <f t="shared" si="5"/>
        <v>37482.300000000003</v>
      </c>
    </row>
    <row r="26" spans="1:21" x14ac:dyDescent="0.2">
      <c r="A26" s="32" t="s">
        <v>41</v>
      </c>
      <c r="B26" s="31" t="s">
        <v>34</v>
      </c>
      <c r="C26" s="32">
        <v>52857.402179999997</v>
      </c>
      <c r="D26" s="32" t="s">
        <v>42</v>
      </c>
      <c r="E26">
        <f t="shared" si="0"/>
        <v>250.99961428225137</v>
      </c>
      <c r="F26">
        <f t="shared" si="1"/>
        <v>251</v>
      </c>
      <c r="G26">
        <f t="shared" si="2"/>
        <v>-5.4800000361865386E-4</v>
      </c>
      <c r="K26">
        <f t="shared" si="3"/>
        <v>-5.4800000361865386E-4</v>
      </c>
      <c r="O26">
        <f t="shared" ca="1" si="4"/>
        <v>-5.1643168658977823E-4</v>
      </c>
      <c r="Q26" s="2">
        <f t="shared" si="5"/>
        <v>37838.902179999997</v>
      </c>
    </row>
    <row r="27" spans="1:21" x14ac:dyDescent="0.2">
      <c r="A27" s="36" t="s">
        <v>43</v>
      </c>
      <c r="B27" s="37" t="s">
        <v>34</v>
      </c>
      <c r="C27" s="36">
        <v>53387.347999999998</v>
      </c>
      <c r="D27" s="36">
        <v>8.9999999999999993E-3</v>
      </c>
      <c r="E27">
        <f t="shared" si="0"/>
        <v>624.00966265182024</v>
      </c>
      <c r="F27">
        <f t="shared" si="1"/>
        <v>624</v>
      </c>
      <c r="O27">
        <f t="shared" ca="1" si="4"/>
        <v>1.8305175434824971E-4</v>
      </c>
      <c r="Q27" s="2">
        <f t="shared" si="5"/>
        <v>38368.847999999998</v>
      </c>
      <c r="U27">
        <f>+C27-(C$7+F27*C$8)</f>
        <v>1.3727999998081941E-2</v>
      </c>
    </row>
    <row r="28" spans="1:21" x14ac:dyDescent="0.2">
      <c r="A28" s="26" t="s">
        <v>93</v>
      </c>
      <c r="B28" s="3" t="s">
        <v>34</v>
      </c>
      <c r="C28" s="10">
        <v>54360.533100000001</v>
      </c>
      <c r="D28" s="10" t="s">
        <v>57</v>
      </c>
      <c r="E28">
        <f t="shared" si="0"/>
        <v>1309.000104171944</v>
      </c>
      <c r="F28">
        <f t="shared" si="1"/>
        <v>1309</v>
      </c>
      <c r="G28">
        <f t="shared" ref="G28:G33" si="6">+C28-(C$7+F28*C$8)</f>
        <v>1.4799999917158857E-4</v>
      </c>
      <c r="K28">
        <f>+G28</f>
        <v>1.4799999917158857E-4</v>
      </c>
      <c r="O28">
        <f t="shared" ca="1" si="4"/>
        <v>1.4676259019154058E-3</v>
      </c>
      <c r="Q28" s="2">
        <f t="shared" si="5"/>
        <v>39342.033100000001</v>
      </c>
    </row>
    <row r="29" spans="1:21" x14ac:dyDescent="0.2">
      <c r="A29" s="26" t="s">
        <v>93</v>
      </c>
      <c r="B29" s="3" t="s">
        <v>34</v>
      </c>
      <c r="C29" s="10">
        <v>54390.369299999998</v>
      </c>
      <c r="D29" s="10" t="s">
        <v>57</v>
      </c>
      <c r="E29">
        <f t="shared" si="0"/>
        <v>1330.0007460963643</v>
      </c>
      <c r="F29">
        <f t="shared" si="1"/>
        <v>1330</v>
      </c>
      <c r="G29">
        <f t="shared" si="6"/>
        <v>1.0599999950500205E-3</v>
      </c>
      <c r="K29">
        <f>+G29</f>
        <v>1.0599999950500205E-3</v>
      </c>
      <c r="O29">
        <f t="shared" ca="1" si="4"/>
        <v>1.5070070071692893E-3</v>
      </c>
      <c r="Q29" s="2">
        <f t="shared" si="5"/>
        <v>39371.869299999998</v>
      </c>
    </row>
    <row r="30" spans="1:21" x14ac:dyDescent="0.2">
      <c r="A30" s="41" t="s">
        <v>46</v>
      </c>
      <c r="B30" s="41"/>
      <c r="C30" s="42">
        <v>55481.488700000002</v>
      </c>
      <c r="D30" s="42">
        <v>8.9999999999999998E-4</v>
      </c>
      <c r="E30">
        <f t="shared" si="0"/>
        <v>2098.0009544402578</v>
      </c>
      <c r="F30">
        <f t="shared" si="1"/>
        <v>2098</v>
      </c>
      <c r="G30">
        <f t="shared" si="6"/>
        <v>1.3560000006691553E-3</v>
      </c>
      <c r="J30">
        <f>+G30</f>
        <v>1.3560000006691553E-3</v>
      </c>
      <c r="O30">
        <f t="shared" ca="1" si="4"/>
        <v>2.9472302850256041E-3</v>
      </c>
      <c r="Q30" s="2">
        <f t="shared" si="5"/>
        <v>40462.988700000002</v>
      </c>
    </row>
    <row r="31" spans="1:21" x14ac:dyDescent="0.2">
      <c r="A31" s="41" t="s">
        <v>46</v>
      </c>
      <c r="B31" s="41"/>
      <c r="C31" s="42">
        <v>55491.434000000001</v>
      </c>
      <c r="D31" s="42">
        <v>5.0000000000000001E-4</v>
      </c>
      <c r="E31">
        <f t="shared" si="0"/>
        <v>2105.0010980286152</v>
      </c>
      <c r="F31">
        <f t="shared" si="1"/>
        <v>2105</v>
      </c>
      <c r="G31">
        <f t="shared" si="6"/>
        <v>1.5599999969708733E-3</v>
      </c>
      <c r="J31">
        <f>+G31</f>
        <v>1.5599999969708733E-3</v>
      </c>
      <c r="O31">
        <f t="shared" ca="1" si="4"/>
        <v>2.960357320110232E-3</v>
      </c>
      <c r="Q31" s="2">
        <f t="shared" si="5"/>
        <v>40472.934000000001</v>
      </c>
    </row>
    <row r="32" spans="1:21" x14ac:dyDescent="0.2">
      <c r="A32" s="26" t="s">
        <v>111</v>
      </c>
      <c r="B32" s="3" t="s">
        <v>34</v>
      </c>
      <c r="C32" s="10">
        <v>55839.515299999999</v>
      </c>
      <c r="D32" s="10" t="s">
        <v>57</v>
      </c>
      <c r="E32">
        <f t="shared" si="0"/>
        <v>2350.0031673902367</v>
      </c>
      <c r="F32">
        <f t="shared" si="1"/>
        <v>2350</v>
      </c>
      <c r="G32">
        <f t="shared" si="6"/>
        <v>4.4999999954598024E-3</v>
      </c>
      <c r="K32">
        <f>+G32</f>
        <v>4.4999999954598024E-3</v>
      </c>
      <c r="O32">
        <f t="shared" ca="1" si="4"/>
        <v>3.4198035480722073E-3</v>
      </c>
      <c r="Q32" s="2">
        <f t="shared" si="5"/>
        <v>40821.015299999999</v>
      </c>
    </row>
    <row r="33" spans="1:21" x14ac:dyDescent="0.2">
      <c r="A33" s="26" t="s">
        <v>111</v>
      </c>
      <c r="B33" s="3" t="s">
        <v>34</v>
      </c>
      <c r="C33" s="10">
        <v>55849.461199999998</v>
      </c>
      <c r="D33" s="10" t="s">
        <v>57</v>
      </c>
      <c r="E33">
        <f t="shared" si="0"/>
        <v>2357.003733297292</v>
      </c>
      <c r="F33">
        <f t="shared" si="1"/>
        <v>2357</v>
      </c>
      <c r="G33">
        <f t="shared" si="6"/>
        <v>5.3039999984321184E-3</v>
      </c>
      <c r="K33">
        <f>+G33</f>
        <v>5.3039999984321184E-3</v>
      </c>
      <c r="O33">
        <f t="shared" ca="1" si="4"/>
        <v>3.432930583156836E-3</v>
      </c>
      <c r="Q33" s="2">
        <f t="shared" si="5"/>
        <v>40830.961199999998</v>
      </c>
    </row>
    <row r="34" spans="1:21" x14ac:dyDescent="0.2">
      <c r="A34" s="38" t="s">
        <v>44</v>
      </c>
      <c r="B34" s="39" t="s">
        <v>45</v>
      </c>
      <c r="C34" s="40">
        <v>56219.565499999997</v>
      </c>
      <c r="D34" s="40">
        <v>1.3899999999999999E-2</v>
      </c>
      <c r="E34">
        <f t="shared" si="0"/>
        <v>2617.5070104903925</v>
      </c>
      <c r="F34">
        <f t="shared" si="1"/>
        <v>2617.5</v>
      </c>
      <c r="O34">
        <f t="shared" ca="1" si="4"/>
        <v>3.9214438173776301E-3</v>
      </c>
      <c r="Q34" s="2">
        <f t="shared" si="5"/>
        <v>41201.065499999997</v>
      </c>
      <c r="U34">
        <f>+C34-(C$7+F34*C$8)</f>
        <v>9.9599999957717955E-3</v>
      </c>
    </row>
    <row r="35" spans="1:21" x14ac:dyDescent="0.2">
      <c r="A35" s="43" t="s">
        <v>47</v>
      </c>
      <c r="B35" s="44"/>
      <c r="C35" s="43">
        <v>56963.312299999998</v>
      </c>
      <c r="D35" s="43">
        <v>1E-4</v>
      </c>
      <c r="E35">
        <f t="shared" si="0"/>
        <v>3141.0039782421372</v>
      </c>
      <c r="F35">
        <f t="shared" si="1"/>
        <v>3141</v>
      </c>
      <c r="G35">
        <f>+C35-(C$7+F35*C$8)</f>
        <v>5.651999992551282E-3</v>
      </c>
      <c r="J35">
        <f>+G35</f>
        <v>5.651999992551282E-3</v>
      </c>
      <c r="O35">
        <f t="shared" ca="1" si="4"/>
        <v>4.9031585126351569E-3</v>
      </c>
      <c r="Q35" s="2">
        <f t="shared" si="5"/>
        <v>41944.812299999998</v>
      </c>
    </row>
    <row r="36" spans="1:21" x14ac:dyDescent="0.2">
      <c r="C36" s="10"/>
      <c r="D36" s="10"/>
    </row>
    <row r="37" spans="1:21" x14ac:dyDescent="0.2">
      <c r="C37" s="10"/>
      <c r="D37" s="10"/>
    </row>
    <row r="38" spans="1:21" x14ac:dyDescent="0.2">
      <c r="C38" s="10"/>
      <c r="D38" s="10"/>
    </row>
    <row r="39" spans="1:21" x14ac:dyDescent="0.2">
      <c r="C39" s="10"/>
      <c r="D39" s="10"/>
    </row>
    <row r="40" spans="1:21" x14ac:dyDescent="0.2">
      <c r="C40" s="10"/>
      <c r="D40" s="10"/>
    </row>
    <row r="41" spans="1:21" x14ac:dyDescent="0.2">
      <c r="C41" s="10"/>
      <c r="D41" s="10"/>
    </row>
    <row r="42" spans="1:21" x14ac:dyDescent="0.2">
      <c r="C42" s="10"/>
      <c r="D42" s="10"/>
    </row>
    <row r="43" spans="1:21" x14ac:dyDescent="0.2">
      <c r="C43" s="10"/>
      <c r="D43" s="10"/>
    </row>
    <row r="44" spans="1:21" x14ac:dyDescent="0.2">
      <c r="C44" s="10"/>
      <c r="D44" s="10"/>
    </row>
    <row r="45" spans="1:21" x14ac:dyDescent="0.2">
      <c r="C45" s="10"/>
      <c r="D45" s="10"/>
    </row>
    <row r="46" spans="1:21" x14ac:dyDescent="0.2">
      <c r="C46" s="10"/>
      <c r="D46" s="10"/>
    </row>
    <row r="47" spans="1:21" x14ac:dyDescent="0.2">
      <c r="C47" s="10"/>
      <c r="D47" s="10"/>
    </row>
    <row r="48" spans="1:21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45"/>
  <sheetViews>
    <sheetView workbookViewId="0">
      <selection activeCell="A21" sqref="A21:D24"/>
    </sheetView>
  </sheetViews>
  <sheetFormatPr defaultRowHeight="12.75" x14ac:dyDescent="0.2"/>
  <cols>
    <col min="1" max="1" width="16.28515625" style="10" customWidth="1"/>
    <col min="2" max="2" width="4.42578125" style="12" customWidth="1"/>
    <col min="3" max="3" width="12.7109375" style="10" customWidth="1"/>
    <col min="4" max="4" width="3.5703125" style="12" customWidth="1"/>
    <col min="5" max="5" width="12.42578125" style="12" customWidth="1"/>
    <col min="6" max="6" width="5.42578125" style="12" customWidth="1"/>
    <col min="7" max="7" width="12" style="12" customWidth="1"/>
    <col min="8" max="8" width="7.28515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45" t="s">
        <v>48</v>
      </c>
      <c r="I1" s="46" t="s">
        <v>49</v>
      </c>
      <c r="J1" s="47" t="s">
        <v>42</v>
      </c>
    </row>
    <row r="2" spans="1:16" x14ac:dyDescent="0.2">
      <c r="I2" s="48" t="s">
        <v>50</v>
      </c>
      <c r="J2" s="49" t="s">
        <v>51</v>
      </c>
    </row>
    <row r="3" spans="1:16" x14ac:dyDescent="0.2">
      <c r="A3" s="50" t="s">
        <v>52</v>
      </c>
      <c r="I3" s="48" t="s">
        <v>53</v>
      </c>
      <c r="J3" s="49" t="s">
        <v>54</v>
      </c>
    </row>
    <row r="4" spans="1:16" x14ac:dyDescent="0.2">
      <c r="I4" s="48" t="s">
        <v>55</v>
      </c>
      <c r="J4" s="49" t="s">
        <v>54</v>
      </c>
    </row>
    <row r="5" spans="1:16" ht="13.5" thickBot="1" x14ac:dyDescent="0.25">
      <c r="I5" s="51" t="s">
        <v>56</v>
      </c>
      <c r="J5" s="52" t="s">
        <v>57</v>
      </c>
    </row>
    <row r="10" spans="1:16" ht="13.5" thickBot="1" x14ac:dyDescent="0.25"/>
    <row r="11" spans="1:16" ht="12.75" customHeight="1" thickBot="1" x14ac:dyDescent="0.25">
      <c r="A11" s="10" t="str">
        <f t="shared" ref="A11:A24" si="0">P11</f>
        <v>IBVS 4887 </v>
      </c>
      <c r="B11" s="3" t="str">
        <f t="shared" ref="B11:B24" si="1">IF(H11=INT(H11),"I","II")</f>
        <v>I</v>
      </c>
      <c r="C11" s="10">
        <f t="shared" ref="C11:C24" si="2">1*G11</f>
        <v>50713.521699999998</v>
      </c>
      <c r="D11" s="12" t="str">
        <f t="shared" ref="D11:D24" si="3">VLOOKUP(F11,I$1:J$5,2,FALSE)</f>
        <v>vis</v>
      </c>
      <c r="E11" s="53">
        <f>VLOOKUP(C11,Active!C$21:E$973,3,FALSE)</f>
        <v>-1258.0017427685</v>
      </c>
      <c r="F11" s="3" t="s">
        <v>56</v>
      </c>
      <c r="G11" s="12" t="str">
        <f t="shared" ref="G11:G24" si="4">MID(I11,3,LEN(I11)-3)</f>
        <v>50713.5217</v>
      </c>
      <c r="H11" s="10">
        <f t="shared" ref="H11:H24" si="5">1*K11</f>
        <v>-418</v>
      </c>
      <c r="I11" s="54" t="s">
        <v>58</v>
      </c>
      <c r="J11" s="55" t="s">
        <v>59</v>
      </c>
      <c r="K11" s="54">
        <v>-418</v>
      </c>
      <c r="L11" s="54" t="s">
        <v>60</v>
      </c>
      <c r="M11" s="55" t="s">
        <v>61</v>
      </c>
      <c r="N11" s="55" t="s">
        <v>62</v>
      </c>
      <c r="O11" s="56" t="s">
        <v>63</v>
      </c>
      <c r="P11" s="57" t="s">
        <v>64</v>
      </c>
    </row>
    <row r="12" spans="1:16" ht="12.75" customHeight="1" thickBot="1" x14ac:dyDescent="0.25">
      <c r="A12" s="10" t="str">
        <f t="shared" si="0"/>
        <v>OEJV 0074 </v>
      </c>
      <c r="B12" s="3" t="str">
        <f t="shared" si="1"/>
        <v>I</v>
      </c>
      <c r="C12" s="10">
        <f t="shared" si="2"/>
        <v>51780.489690000002</v>
      </c>
      <c r="D12" s="12" t="str">
        <f t="shared" si="3"/>
        <v>vis</v>
      </c>
      <c r="E12" s="53">
        <f>VLOOKUP(C12,Active!C$21:E$973,3,FALSE)</f>
        <v>-507.00085449150066</v>
      </c>
      <c r="F12" s="3" t="s">
        <v>56</v>
      </c>
      <c r="G12" s="12" t="str">
        <f t="shared" si="4"/>
        <v>51780.48969</v>
      </c>
      <c r="H12" s="10">
        <f t="shared" si="5"/>
        <v>333</v>
      </c>
      <c r="I12" s="54" t="s">
        <v>65</v>
      </c>
      <c r="J12" s="55" t="s">
        <v>66</v>
      </c>
      <c r="K12" s="54">
        <v>333</v>
      </c>
      <c r="L12" s="54" t="s">
        <v>67</v>
      </c>
      <c r="M12" s="55" t="s">
        <v>68</v>
      </c>
      <c r="N12" s="55" t="s">
        <v>69</v>
      </c>
      <c r="O12" s="56" t="s">
        <v>70</v>
      </c>
      <c r="P12" s="57" t="s">
        <v>71</v>
      </c>
    </row>
    <row r="13" spans="1:16" ht="12.75" customHeight="1" thickBot="1" x14ac:dyDescent="0.25">
      <c r="A13" s="10" t="str">
        <f t="shared" si="0"/>
        <v>OEJV 0074 </v>
      </c>
      <c r="B13" s="3" t="str">
        <f t="shared" si="1"/>
        <v>I</v>
      </c>
      <c r="C13" s="10">
        <f t="shared" si="2"/>
        <v>51783.32864</v>
      </c>
      <c r="D13" s="12" t="str">
        <f t="shared" si="3"/>
        <v>vis</v>
      </c>
      <c r="E13" s="53">
        <f>VLOOKUP(C13,Active!C$21:E$973,3,FALSE)</f>
        <v>-505.00261837593348</v>
      </c>
      <c r="F13" s="3" t="s">
        <v>56</v>
      </c>
      <c r="G13" s="12" t="str">
        <f t="shared" si="4"/>
        <v>51783.32864</v>
      </c>
      <c r="H13" s="10">
        <f t="shared" si="5"/>
        <v>335</v>
      </c>
      <c r="I13" s="54" t="s">
        <v>72</v>
      </c>
      <c r="J13" s="55" t="s">
        <v>73</v>
      </c>
      <c r="K13" s="54">
        <v>335</v>
      </c>
      <c r="L13" s="54" t="s">
        <v>74</v>
      </c>
      <c r="M13" s="55" t="s">
        <v>68</v>
      </c>
      <c r="N13" s="55" t="s">
        <v>69</v>
      </c>
      <c r="O13" s="56" t="s">
        <v>70</v>
      </c>
      <c r="P13" s="57" t="s">
        <v>71</v>
      </c>
    </row>
    <row r="14" spans="1:16" ht="12.75" customHeight="1" thickBot="1" x14ac:dyDescent="0.25">
      <c r="A14" s="10" t="str">
        <f t="shared" si="0"/>
        <v>OEJV 0074 </v>
      </c>
      <c r="B14" s="3" t="str">
        <f t="shared" si="1"/>
        <v>I</v>
      </c>
      <c r="C14" s="10">
        <f t="shared" si="2"/>
        <v>51898.40984</v>
      </c>
      <c r="D14" s="12" t="str">
        <f t="shared" si="3"/>
        <v>vis</v>
      </c>
      <c r="E14" s="53">
        <f>VLOOKUP(C14,Active!C$21:E$973,3,FALSE)</f>
        <v>-424.00104735037434</v>
      </c>
      <c r="F14" s="3" t="s">
        <v>56</v>
      </c>
      <c r="G14" s="12" t="str">
        <f t="shared" si="4"/>
        <v>51898.40984</v>
      </c>
      <c r="H14" s="10">
        <f t="shared" si="5"/>
        <v>416</v>
      </c>
      <c r="I14" s="54" t="s">
        <v>75</v>
      </c>
      <c r="J14" s="55" t="s">
        <v>76</v>
      </c>
      <c r="K14" s="54">
        <v>416</v>
      </c>
      <c r="L14" s="54" t="s">
        <v>77</v>
      </c>
      <c r="M14" s="55" t="s">
        <v>68</v>
      </c>
      <c r="N14" s="55" t="s">
        <v>69</v>
      </c>
      <c r="O14" s="56" t="s">
        <v>70</v>
      </c>
      <c r="P14" s="57" t="s">
        <v>71</v>
      </c>
    </row>
    <row r="15" spans="1:16" ht="12.75" customHeight="1" thickBot="1" x14ac:dyDescent="0.25">
      <c r="A15" s="10" t="str">
        <f t="shared" si="0"/>
        <v>OEJV 0074 </v>
      </c>
      <c r="B15" s="3" t="str">
        <f t="shared" si="1"/>
        <v>I</v>
      </c>
      <c r="C15" s="10">
        <f t="shared" si="2"/>
        <v>52857.402179999997</v>
      </c>
      <c r="D15" s="12" t="str">
        <f t="shared" si="3"/>
        <v>vis</v>
      </c>
      <c r="E15" s="53">
        <f>VLOOKUP(C15,Active!C$21:E$973,3,FALSE)</f>
        <v>250.99961428225137</v>
      </c>
      <c r="F15" s="3" t="s">
        <v>56</v>
      </c>
      <c r="G15" s="12" t="str">
        <f t="shared" si="4"/>
        <v>52857.40218</v>
      </c>
      <c r="H15" s="10">
        <f t="shared" si="5"/>
        <v>1091</v>
      </c>
      <c r="I15" s="54" t="s">
        <v>78</v>
      </c>
      <c r="J15" s="55" t="s">
        <v>79</v>
      </c>
      <c r="K15" s="54">
        <v>1091</v>
      </c>
      <c r="L15" s="54" t="s">
        <v>80</v>
      </c>
      <c r="M15" s="55" t="s">
        <v>68</v>
      </c>
      <c r="N15" s="55" t="s">
        <v>69</v>
      </c>
      <c r="O15" s="56" t="s">
        <v>81</v>
      </c>
      <c r="P15" s="57" t="s">
        <v>71</v>
      </c>
    </row>
    <row r="16" spans="1:16" ht="12.75" customHeight="1" thickBot="1" x14ac:dyDescent="0.25">
      <c r="A16" s="10" t="str">
        <f t="shared" si="0"/>
        <v>OEJV 0003 </v>
      </c>
      <c r="B16" s="3" t="str">
        <f t="shared" si="1"/>
        <v>I</v>
      </c>
      <c r="C16" s="10">
        <f t="shared" si="2"/>
        <v>53387.347999999998</v>
      </c>
      <c r="D16" s="12" t="str">
        <f t="shared" si="3"/>
        <v>vis</v>
      </c>
      <c r="E16" s="53">
        <f>VLOOKUP(C16,Active!C$21:E$973,3,FALSE)</f>
        <v>624.00966265182024</v>
      </c>
      <c r="F16" s="3" t="s">
        <v>56</v>
      </c>
      <c r="G16" s="12" t="str">
        <f t="shared" si="4"/>
        <v>53387.348</v>
      </c>
      <c r="H16" s="10">
        <f t="shared" si="5"/>
        <v>1464</v>
      </c>
      <c r="I16" s="54" t="s">
        <v>82</v>
      </c>
      <c r="J16" s="55" t="s">
        <v>83</v>
      </c>
      <c r="K16" s="54">
        <v>1464</v>
      </c>
      <c r="L16" s="54" t="s">
        <v>84</v>
      </c>
      <c r="M16" s="55" t="s">
        <v>85</v>
      </c>
      <c r="N16" s="55"/>
      <c r="O16" s="56" t="s">
        <v>86</v>
      </c>
      <c r="P16" s="57" t="s">
        <v>87</v>
      </c>
    </row>
    <row r="17" spans="1:16" ht="12.75" customHeight="1" thickBot="1" x14ac:dyDescent="0.25">
      <c r="A17" s="10" t="str">
        <f t="shared" si="0"/>
        <v>BAVM 215 </v>
      </c>
      <c r="B17" s="3" t="str">
        <f t="shared" si="1"/>
        <v>I</v>
      </c>
      <c r="C17" s="10">
        <f t="shared" si="2"/>
        <v>55481.488700000002</v>
      </c>
      <c r="D17" s="12" t="str">
        <f t="shared" si="3"/>
        <v>vis</v>
      </c>
      <c r="E17" s="53">
        <f>VLOOKUP(C17,Active!C$21:E$973,3,FALSE)</f>
        <v>2098.0009544402578</v>
      </c>
      <c r="F17" s="3" t="s">
        <v>56</v>
      </c>
      <c r="G17" s="12" t="str">
        <f t="shared" si="4"/>
        <v>55481.4887</v>
      </c>
      <c r="H17" s="10">
        <f t="shared" si="5"/>
        <v>2938</v>
      </c>
      <c r="I17" s="54" t="s">
        <v>98</v>
      </c>
      <c r="J17" s="55" t="s">
        <v>99</v>
      </c>
      <c r="K17" s="54" t="s">
        <v>100</v>
      </c>
      <c r="L17" s="54" t="s">
        <v>101</v>
      </c>
      <c r="M17" s="55" t="s">
        <v>68</v>
      </c>
      <c r="N17" s="55" t="s">
        <v>91</v>
      </c>
      <c r="O17" s="56" t="s">
        <v>92</v>
      </c>
      <c r="P17" s="57" t="s">
        <v>102</v>
      </c>
    </row>
    <row r="18" spans="1:16" ht="12.75" customHeight="1" thickBot="1" x14ac:dyDescent="0.25">
      <c r="A18" s="10" t="str">
        <f t="shared" si="0"/>
        <v>BAVM 215 </v>
      </c>
      <c r="B18" s="3" t="str">
        <f t="shared" si="1"/>
        <v>I</v>
      </c>
      <c r="C18" s="10">
        <f t="shared" si="2"/>
        <v>55491.434000000001</v>
      </c>
      <c r="D18" s="12" t="str">
        <f t="shared" si="3"/>
        <v>vis</v>
      </c>
      <c r="E18" s="53">
        <f>VLOOKUP(C18,Active!C$21:E$973,3,FALSE)</f>
        <v>2105.0010980286152</v>
      </c>
      <c r="F18" s="3" t="s">
        <v>56</v>
      </c>
      <c r="G18" s="12" t="str">
        <f t="shared" si="4"/>
        <v>55491.4340</v>
      </c>
      <c r="H18" s="10">
        <f t="shared" si="5"/>
        <v>2945</v>
      </c>
      <c r="I18" s="54" t="s">
        <v>103</v>
      </c>
      <c r="J18" s="55" t="s">
        <v>104</v>
      </c>
      <c r="K18" s="54" t="s">
        <v>105</v>
      </c>
      <c r="L18" s="54" t="s">
        <v>106</v>
      </c>
      <c r="M18" s="55" t="s">
        <v>68</v>
      </c>
      <c r="N18" s="55" t="s">
        <v>91</v>
      </c>
      <c r="O18" s="56" t="s">
        <v>92</v>
      </c>
      <c r="P18" s="57" t="s">
        <v>102</v>
      </c>
    </row>
    <row r="19" spans="1:16" ht="12.75" customHeight="1" thickBot="1" x14ac:dyDescent="0.25">
      <c r="A19" s="10" t="str">
        <f t="shared" si="0"/>
        <v>BAVM 231 </v>
      </c>
      <c r="B19" s="3" t="str">
        <f t="shared" si="1"/>
        <v>II</v>
      </c>
      <c r="C19" s="10">
        <f t="shared" si="2"/>
        <v>56219.565499999997</v>
      </c>
      <c r="D19" s="12" t="str">
        <f t="shared" si="3"/>
        <v>vis</v>
      </c>
      <c r="E19" s="53">
        <f>VLOOKUP(C19,Active!C$21:E$973,3,FALSE)</f>
        <v>2617.5070104903925</v>
      </c>
      <c r="F19" s="3" t="s">
        <v>56</v>
      </c>
      <c r="G19" s="12" t="str">
        <f t="shared" si="4"/>
        <v>56219.5655</v>
      </c>
      <c r="H19" s="10">
        <f t="shared" si="5"/>
        <v>3457.5</v>
      </c>
      <c r="I19" s="54" t="s">
        <v>115</v>
      </c>
      <c r="J19" s="55" t="s">
        <v>116</v>
      </c>
      <c r="K19" s="54" t="s">
        <v>117</v>
      </c>
      <c r="L19" s="54" t="s">
        <v>118</v>
      </c>
      <c r="M19" s="55" t="s">
        <v>68</v>
      </c>
      <c r="N19" s="55" t="s">
        <v>91</v>
      </c>
      <c r="O19" s="56" t="s">
        <v>92</v>
      </c>
      <c r="P19" s="57" t="s">
        <v>119</v>
      </c>
    </row>
    <row r="20" spans="1:16" ht="12.75" customHeight="1" thickBot="1" x14ac:dyDescent="0.25">
      <c r="A20" s="10" t="str">
        <f t="shared" si="0"/>
        <v>BAVM 239 </v>
      </c>
      <c r="B20" s="3" t="str">
        <f t="shared" si="1"/>
        <v>I</v>
      </c>
      <c r="C20" s="10">
        <f t="shared" si="2"/>
        <v>56963.312299999998</v>
      </c>
      <c r="D20" s="12" t="str">
        <f t="shared" si="3"/>
        <v>vis</v>
      </c>
      <c r="E20" s="53">
        <f>VLOOKUP(C20,Active!C$21:E$973,3,FALSE)</f>
        <v>3141.0039782421372</v>
      </c>
      <c r="F20" s="3" t="s">
        <v>56</v>
      </c>
      <c r="G20" s="12" t="str">
        <f t="shared" si="4"/>
        <v>56963.3123</v>
      </c>
      <c r="H20" s="10">
        <f t="shared" si="5"/>
        <v>3981</v>
      </c>
      <c r="I20" s="54" t="s">
        <v>120</v>
      </c>
      <c r="J20" s="55" t="s">
        <v>121</v>
      </c>
      <c r="K20" s="54" t="s">
        <v>122</v>
      </c>
      <c r="L20" s="54" t="s">
        <v>123</v>
      </c>
      <c r="M20" s="55" t="s">
        <v>68</v>
      </c>
      <c r="N20" s="55" t="s">
        <v>69</v>
      </c>
      <c r="O20" s="56" t="s">
        <v>124</v>
      </c>
      <c r="P20" s="57" t="s">
        <v>125</v>
      </c>
    </row>
    <row r="21" spans="1:16" ht="12.75" customHeight="1" thickBot="1" x14ac:dyDescent="0.25">
      <c r="A21" s="10" t="str">
        <f t="shared" si="0"/>
        <v>BAVM 193 </v>
      </c>
      <c r="B21" s="3" t="str">
        <f t="shared" si="1"/>
        <v>I</v>
      </c>
      <c r="C21" s="10">
        <f t="shared" si="2"/>
        <v>54360.533100000001</v>
      </c>
      <c r="D21" s="12" t="str">
        <f t="shared" si="3"/>
        <v>vis</v>
      </c>
      <c r="E21" s="53">
        <f>VLOOKUP(C21,Active!C$21:E$973,3,FALSE)</f>
        <v>1309.000104171944</v>
      </c>
      <c r="F21" s="3" t="s">
        <v>56</v>
      </c>
      <c r="G21" s="12" t="str">
        <f t="shared" si="4"/>
        <v>54360.5331</v>
      </c>
      <c r="H21" s="10">
        <f t="shared" si="5"/>
        <v>2149</v>
      </c>
      <c r="I21" s="54" t="s">
        <v>88</v>
      </c>
      <c r="J21" s="55" t="s">
        <v>89</v>
      </c>
      <c r="K21" s="54">
        <v>2149</v>
      </c>
      <c r="L21" s="54" t="s">
        <v>90</v>
      </c>
      <c r="M21" s="55" t="s">
        <v>68</v>
      </c>
      <c r="N21" s="55" t="s">
        <v>91</v>
      </c>
      <c r="O21" s="56" t="s">
        <v>92</v>
      </c>
      <c r="P21" s="57" t="s">
        <v>93</v>
      </c>
    </row>
    <row r="22" spans="1:16" ht="12.75" customHeight="1" thickBot="1" x14ac:dyDescent="0.25">
      <c r="A22" s="10" t="str">
        <f t="shared" si="0"/>
        <v>BAVM 193 </v>
      </c>
      <c r="B22" s="3" t="str">
        <f t="shared" si="1"/>
        <v>I</v>
      </c>
      <c r="C22" s="10">
        <f t="shared" si="2"/>
        <v>54390.369299999998</v>
      </c>
      <c r="D22" s="12" t="str">
        <f t="shared" si="3"/>
        <v>vis</v>
      </c>
      <c r="E22" s="53">
        <f>VLOOKUP(C22,Active!C$21:E$973,3,FALSE)</f>
        <v>1330.0007460963643</v>
      </c>
      <c r="F22" s="3" t="s">
        <v>56</v>
      </c>
      <c r="G22" s="12" t="str">
        <f t="shared" si="4"/>
        <v>54390.3693</v>
      </c>
      <c r="H22" s="10">
        <f t="shared" si="5"/>
        <v>2170</v>
      </c>
      <c r="I22" s="54" t="s">
        <v>94</v>
      </c>
      <c r="J22" s="55" t="s">
        <v>95</v>
      </c>
      <c r="K22" s="54" t="s">
        <v>96</v>
      </c>
      <c r="L22" s="54" t="s">
        <v>97</v>
      </c>
      <c r="M22" s="55" t="s">
        <v>68</v>
      </c>
      <c r="N22" s="55" t="s">
        <v>91</v>
      </c>
      <c r="O22" s="56" t="s">
        <v>92</v>
      </c>
      <c r="P22" s="57" t="s">
        <v>93</v>
      </c>
    </row>
    <row r="23" spans="1:16" ht="12.75" customHeight="1" thickBot="1" x14ac:dyDescent="0.25">
      <c r="A23" s="10" t="str">
        <f t="shared" si="0"/>
        <v>BAVM 225 </v>
      </c>
      <c r="B23" s="3" t="str">
        <f t="shared" si="1"/>
        <v>I</v>
      </c>
      <c r="C23" s="10">
        <f t="shared" si="2"/>
        <v>55839.515299999999</v>
      </c>
      <c r="D23" s="12" t="str">
        <f t="shared" si="3"/>
        <v>vis</v>
      </c>
      <c r="E23" s="53">
        <f>VLOOKUP(C23,Active!C$21:E$973,3,FALSE)</f>
        <v>2350.0031673902367</v>
      </c>
      <c r="F23" s="3" t="s">
        <v>56</v>
      </c>
      <c r="G23" s="12" t="str">
        <f t="shared" si="4"/>
        <v>55839.5153</v>
      </c>
      <c r="H23" s="10">
        <f t="shared" si="5"/>
        <v>3190</v>
      </c>
      <c r="I23" s="54" t="s">
        <v>107</v>
      </c>
      <c r="J23" s="55" t="s">
        <v>108</v>
      </c>
      <c r="K23" s="54" t="s">
        <v>109</v>
      </c>
      <c r="L23" s="54" t="s">
        <v>110</v>
      </c>
      <c r="M23" s="55" t="s">
        <v>68</v>
      </c>
      <c r="N23" s="55" t="s">
        <v>91</v>
      </c>
      <c r="O23" s="56" t="s">
        <v>92</v>
      </c>
      <c r="P23" s="57" t="s">
        <v>111</v>
      </c>
    </row>
    <row r="24" spans="1:16" ht="12.75" customHeight="1" thickBot="1" x14ac:dyDescent="0.25">
      <c r="A24" s="10" t="str">
        <f t="shared" si="0"/>
        <v>BAVM 225 </v>
      </c>
      <c r="B24" s="3" t="str">
        <f t="shared" si="1"/>
        <v>I</v>
      </c>
      <c r="C24" s="10">
        <f t="shared" si="2"/>
        <v>55849.461199999998</v>
      </c>
      <c r="D24" s="12" t="str">
        <f t="shared" si="3"/>
        <v>vis</v>
      </c>
      <c r="E24" s="53">
        <f>VLOOKUP(C24,Active!C$21:E$973,3,FALSE)</f>
        <v>2357.003733297292</v>
      </c>
      <c r="F24" s="3" t="s">
        <v>56</v>
      </c>
      <c r="G24" s="12" t="str">
        <f t="shared" si="4"/>
        <v>55849.4612</v>
      </c>
      <c r="H24" s="10">
        <f t="shared" si="5"/>
        <v>3197</v>
      </c>
      <c r="I24" s="54" t="s">
        <v>112</v>
      </c>
      <c r="J24" s="55" t="s">
        <v>113</v>
      </c>
      <c r="K24" s="54" t="s">
        <v>114</v>
      </c>
      <c r="L24" s="54" t="s">
        <v>101</v>
      </c>
      <c r="M24" s="55" t="s">
        <v>68</v>
      </c>
      <c r="N24" s="55" t="s">
        <v>91</v>
      </c>
      <c r="O24" s="56" t="s">
        <v>92</v>
      </c>
      <c r="P24" s="57" t="s">
        <v>111</v>
      </c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</sheetData>
  <phoneticPr fontId="7" type="noConversion"/>
  <hyperlinks>
    <hyperlink ref="A3" r:id="rId1" xr:uid="{00000000-0004-0000-0100-000000000000}"/>
    <hyperlink ref="P11" r:id="rId2" display="http://www.konkoly.hu/cgi-bin/IBVS?4887" xr:uid="{00000000-0004-0000-0100-000001000000}"/>
    <hyperlink ref="P12" r:id="rId3" display="http://var.astro.cz/oejv/issues/oejv0074.pdf" xr:uid="{00000000-0004-0000-0100-000002000000}"/>
    <hyperlink ref="P13" r:id="rId4" display="http://var.astro.cz/oejv/issues/oejv0074.pdf" xr:uid="{00000000-0004-0000-0100-000003000000}"/>
    <hyperlink ref="P14" r:id="rId5" display="http://var.astro.cz/oejv/issues/oejv0074.pdf" xr:uid="{00000000-0004-0000-0100-000004000000}"/>
    <hyperlink ref="P15" r:id="rId6" display="http://var.astro.cz/oejv/issues/oejv0074.pdf" xr:uid="{00000000-0004-0000-0100-000005000000}"/>
    <hyperlink ref="P16" r:id="rId7" display="http://var.astro.cz/oejv/issues/oejv0003.pdf" xr:uid="{00000000-0004-0000-0100-000006000000}"/>
    <hyperlink ref="P21" r:id="rId8" display="http://www.bav-astro.de/sfs/BAVM_link.php?BAVMnr=193" xr:uid="{00000000-0004-0000-0100-000007000000}"/>
    <hyperlink ref="P22" r:id="rId9" display="http://www.bav-astro.de/sfs/BAVM_link.php?BAVMnr=193" xr:uid="{00000000-0004-0000-0100-000008000000}"/>
    <hyperlink ref="P17" r:id="rId10" display="http://www.bav-astro.de/sfs/BAVM_link.php?BAVMnr=215" xr:uid="{00000000-0004-0000-0100-000009000000}"/>
    <hyperlink ref="P18" r:id="rId11" display="http://www.bav-astro.de/sfs/BAVM_link.php?BAVMnr=215" xr:uid="{00000000-0004-0000-0100-00000A000000}"/>
    <hyperlink ref="P23" r:id="rId12" display="http://www.bav-astro.de/sfs/BAVM_link.php?BAVMnr=225" xr:uid="{00000000-0004-0000-0100-00000B000000}"/>
    <hyperlink ref="P24" r:id="rId13" display="http://www.bav-astro.de/sfs/BAVM_link.php?BAVMnr=225" xr:uid="{00000000-0004-0000-0100-00000C000000}"/>
    <hyperlink ref="P19" r:id="rId14" display="http://www.bav-astro.de/sfs/BAVM_link.php?BAVMnr=231" xr:uid="{00000000-0004-0000-0100-00000D000000}"/>
    <hyperlink ref="P20" r:id="rId15" display="http://www.bav-astro.de/sfs/BAVM_link.php?BAVMnr=239" xr:uid="{00000000-0004-0000-0100-00000E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2024-01-09T23:43:36Z</dcterms:modified>
</cp:coreProperties>
</file>