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55C8EAE-36D6-439B-85BC-7726EBEF3F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43" i="2" l="1"/>
  <c r="F43" i="2" s="1"/>
  <c r="G43" i="2" s="1"/>
  <c r="K43" i="2" s="1"/>
  <c r="Q43" i="2"/>
  <c r="E40" i="2"/>
  <c r="F40" i="2"/>
  <c r="G40" i="2"/>
  <c r="K40" i="2"/>
  <c r="E38" i="2"/>
  <c r="F38" i="2"/>
  <c r="G38" i="2"/>
  <c r="K38" i="2"/>
  <c r="E39" i="2"/>
  <c r="F39" i="2"/>
  <c r="G39" i="2"/>
  <c r="K39" i="2"/>
  <c r="E41" i="2"/>
  <c r="F41" i="2"/>
  <c r="G41" i="2"/>
  <c r="K41" i="2"/>
  <c r="E42" i="2"/>
  <c r="F42" i="2"/>
  <c r="G42" i="2"/>
  <c r="J42" i="2"/>
  <c r="E34" i="2"/>
  <c r="F34" i="2"/>
  <c r="G34" i="2"/>
  <c r="E35" i="2"/>
  <c r="F35" i="2"/>
  <c r="G35" i="2"/>
  <c r="K35" i="2"/>
  <c r="E36" i="2"/>
  <c r="F36" i="2"/>
  <c r="G36" i="2"/>
  <c r="K36" i="2"/>
  <c r="E37" i="2"/>
  <c r="F37" i="2"/>
  <c r="G37" i="2"/>
  <c r="E9" i="2"/>
  <c r="D9" i="2"/>
  <c r="Q40" i="2"/>
  <c r="E24" i="2"/>
  <c r="E27" i="2"/>
  <c r="E13" i="3"/>
  <c r="E30" i="2"/>
  <c r="F30" i="2"/>
  <c r="G30" i="2"/>
  <c r="K30" i="2"/>
  <c r="E32" i="2"/>
  <c r="E33" i="2"/>
  <c r="F33" i="2"/>
  <c r="G33" i="2"/>
  <c r="K33" i="2"/>
  <c r="E17" i="3"/>
  <c r="E21" i="2"/>
  <c r="H24" i="3"/>
  <c r="B24" i="3"/>
  <c r="G24" i="3"/>
  <c r="C24" i="3"/>
  <c r="E24" i="3"/>
  <c r="D24" i="3"/>
  <c r="A24" i="3"/>
  <c r="H23" i="3"/>
  <c r="B23" i="3"/>
  <c r="G23" i="3"/>
  <c r="C23" i="3"/>
  <c r="E23" i="3"/>
  <c r="D23" i="3"/>
  <c r="A23" i="3"/>
  <c r="H22" i="3"/>
  <c r="G22" i="3"/>
  <c r="D22" i="3"/>
  <c r="C22" i="3"/>
  <c r="E22" i="3"/>
  <c r="B22" i="3"/>
  <c r="A22" i="3"/>
  <c r="H21" i="3"/>
  <c r="G21" i="3"/>
  <c r="D21" i="3"/>
  <c r="C21" i="3"/>
  <c r="E21" i="3"/>
  <c r="B21" i="3"/>
  <c r="A21" i="3"/>
  <c r="H20" i="3"/>
  <c r="B20" i="3"/>
  <c r="G20" i="3"/>
  <c r="C20" i="3"/>
  <c r="E20" i="3"/>
  <c r="D20" i="3"/>
  <c r="A20" i="3"/>
  <c r="H19" i="3"/>
  <c r="B19" i="3"/>
  <c r="G19" i="3"/>
  <c r="C19" i="3"/>
  <c r="E19" i="3"/>
  <c r="D19" i="3"/>
  <c r="A19" i="3"/>
  <c r="H18" i="3"/>
  <c r="G18" i="3"/>
  <c r="D18" i="3"/>
  <c r="C18" i="3"/>
  <c r="E18" i="3"/>
  <c r="B18" i="3"/>
  <c r="A18" i="3"/>
  <c r="H17" i="3"/>
  <c r="G17" i="3"/>
  <c r="D17" i="3"/>
  <c r="C17" i="3"/>
  <c r="B17" i="3"/>
  <c r="A17" i="3"/>
  <c r="H16" i="3"/>
  <c r="B16" i="3"/>
  <c r="G16" i="3"/>
  <c r="C16" i="3"/>
  <c r="E16" i="3"/>
  <c r="D16" i="3"/>
  <c r="A16" i="3"/>
  <c r="H15" i="3"/>
  <c r="B15" i="3"/>
  <c r="G15" i="3"/>
  <c r="C15" i="3"/>
  <c r="E15" i="3"/>
  <c r="D15" i="3"/>
  <c r="A15" i="3"/>
  <c r="H14" i="3"/>
  <c r="G14" i="3"/>
  <c r="D14" i="3"/>
  <c r="C14" i="3"/>
  <c r="E14" i="3"/>
  <c r="B14" i="3"/>
  <c r="A14" i="3"/>
  <c r="H13" i="3"/>
  <c r="G13" i="3"/>
  <c r="D13" i="3"/>
  <c r="C13" i="3"/>
  <c r="B13" i="3"/>
  <c r="A13" i="3"/>
  <c r="H12" i="3"/>
  <c r="B12" i="3"/>
  <c r="G12" i="3"/>
  <c r="C12" i="3"/>
  <c r="E12" i="3"/>
  <c r="D12" i="3"/>
  <c r="A12" i="3"/>
  <c r="H11" i="3"/>
  <c r="B11" i="3"/>
  <c r="G11" i="3"/>
  <c r="C11" i="3"/>
  <c r="E11" i="3"/>
  <c r="D11" i="3"/>
  <c r="A11" i="3"/>
  <c r="Q42" i="2"/>
  <c r="F21" i="2"/>
  <c r="G21" i="2"/>
  <c r="K21" i="2"/>
  <c r="E22" i="2"/>
  <c r="F22" i="2"/>
  <c r="G22" i="2"/>
  <c r="K22" i="2"/>
  <c r="E23" i="2"/>
  <c r="F23" i="2"/>
  <c r="F24" i="2"/>
  <c r="E25" i="2"/>
  <c r="F25" i="2"/>
  <c r="E26" i="2"/>
  <c r="F26" i="2"/>
  <c r="G26" i="2"/>
  <c r="K26" i="2"/>
  <c r="F27" i="2"/>
  <c r="G27" i="2"/>
  <c r="K27" i="2"/>
  <c r="E28" i="2"/>
  <c r="F28" i="2"/>
  <c r="E29" i="2"/>
  <c r="F29" i="2"/>
  <c r="E31" i="2"/>
  <c r="F31" i="2"/>
  <c r="G31" i="2"/>
  <c r="K31" i="2"/>
  <c r="F32" i="2"/>
  <c r="F16" i="2"/>
  <c r="Q41" i="2"/>
  <c r="Q38" i="2"/>
  <c r="G23" i="2"/>
  <c r="K23" i="2"/>
  <c r="G24" i="2"/>
  <c r="K24" i="2"/>
  <c r="G25" i="2"/>
  <c r="G28" i="2"/>
  <c r="G29" i="2"/>
  <c r="G32" i="2"/>
  <c r="K32" i="2"/>
  <c r="C17" i="2"/>
  <c r="Q21" i="2"/>
  <c r="Q22" i="2"/>
  <c r="Q23" i="2"/>
  <c r="Q24" i="2"/>
  <c r="K25" i="2"/>
  <c r="Q25" i="2"/>
  <c r="Q26" i="2"/>
  <c r="Q27" i="2"/>
  <c r="K28" i="2"/>
  <c r="Q28" i="2"/>
  <c r="K29" i="2"/>
  <c r="Q29" i="2"/>
  <c r="Q30" i="2"/>
  <c r="Q31" i="2"/>
  <c r="Q32" i="2"/>
  <c r="Q33" i="2"/>
  <c r="K34" i="2"/>
  <c r="Q34" i="2"/>
  <c r="Q35" i="2"/>
  <c r="Q36" i="2"/>
  <c r="K37" i="2"/>
  <c r="Q37" i="2"/>
  <c r="Q39" i="2"/>
  <c r="F11" i="1"/>
  <c r="Q21" i="1"/>
  <c r="Q24" i="1"/>
  <c r="Q25" i="1"/>
  <c r="Q26" i="1"/>
  <c r="Q27" i="1"/>
  <c r="Q28" i="1"/>
  <c r="Q29" i="1"/>
  <c r="Q32" i="1"/>
  <c r="Q33" i="1"/>
  <c r="Q34" i="1"/>
  <c r="Q35" i="1"/>
  <c r="Q36" i="1"/>
  <c r="Q37" i="1"/>
  <c r="Q38" i="1"/>
  <c r="G11" i="1"/>
  <c r="E15" i="1"/>
  <c r="C17" i="1"/>
  <c r="C7" i="1"/>
  <c r="C8" i="1"/>
  <c r="Q23" i="1"/>
  <c r="Q31" i="1"/>
  <c r="Q30" i="1"/>
  <c r="Q22" i="1"/>
  <c r="G21" i="1"/>
  <c r="E25" i="1"/>
  <c r="F25" i="1"/>
  <c r="G25" i="1"/>
  <c r="N25" i="1"/>
  <c r="E24" i="1"/>
  <c r="F24" i="1"/>
  <c r="G31" i="1"/>
  <c r="I31" i="1"/>
  <c r="G22" i="1"/>
  <c r="H22" i="1"/>
  <c r="E26" i="1"/>
  <c r="F26" i="1"/>
  <c r="G26" i="1"/>
  <c r="N26" i="1"/>
  <c r="E33" i="1"/>
  <c r="F33" i="1"/>
  <c r="G33" i="1"/>
  <c r="N33" i="1"/>
  <c r="E22" i="1"/>
  <c r="F22" i="1"/>
  <c r="E28" i="1"/>
  <c r="F28" i="1"/>
  <c r="G28" i="1"/>
  <c r="N28" i="1"/>
  <c r="E21" i="1"/>
  <c r="F21" i="1"/>
  <c r="E35" i="1"/>
  <c r="F35" i="1"/>
  <c r="G35" i="1"/>
  <c r="N35" i="1"/>
  <c r="G27" i="1"/>
  <c r="N27" i="1"/>
  <c r="E30" i="1"/>
  <c r="F30" i="1"/>
  <c r="G30" i="1"/>
  <c r="I30" i="1"/>
  <c r="E32" i="1"/>
  <c r="F32" i="1"/>
  <c r="G32" i="1"/>
  <c r="N32" i="1"/>
  <c r="G24" i="1"/>
  <c r="N24" i="1"/>
  <c r="E34" i="1"/>
  <c r="F34" i="1"/>
  <c r="G34" i="1"/>
  <c r="N34" i="1"/>
  <c r="E37" i="1"/>
  <c r="F37" i="1"/>
  <c r="G37" i="1"/>
  <c r="N37" i="1"/>
  <c r="E27" i="1"/>
  <c r="F27" i="1"/>
  <c r="G36" i="1"/>
  <c r="N36" i="1"/>
  <c r="E29" i="1"/>
  <c r="F29" i="1"/>
  <c r="G29" i="1"/>
  <c r="N29" i="1"/>
  <c r="E38" i="1"/>
  <c r="F38" i="1"/>
  <c r="G38" i="1"/>
  <c r="I38" i="1"/>
  <c r="E23" i="1"/>
  <c r="F23" i="1"/>
  <c r="G23" i="1"/>
  <c r="I23" i="1"/>
  <c r="E31" i="1"/>
  <c r="F31" i="1"/>
  <c r="E36" i="1"/>
  <c r="F36" i="1"/>
  <c r="N21" i="1"/>
  <c r="C12" i="2"/>
  <c r="C11" i="2"/>
  <c r="C11" i="1"/>
  <c r="O43" i="2" l="1"/>
  <c r="C16" i="2"/>
  <c r="D18" i="2" s="1"/>
  <c r="O40" i="2"/>
  <c r="O38" i="2"/>
  <c r="O39" i="2"/>
  <c r="C15" i="2"/>
  <c r="O42" i="2"/>
  <c r="O41" i="2"/>
  <c r="F17" i="2"/>
  <c r="C12" i="1"/>
  <c r="O36" i="1" l="1"/>
  <c r="C15" i="1"/>
  <c r="C18" i="1" s="1"/>
  <c r="O25" i="1"/>
  <c r="O23" i="1"/>
  <c r="O30" i="1"/>
  <c r="O34" i="1"/>
  <c r="O32" i="1"/>
  <c r="O31" i="1"/>
  <c r="O28" i="1"/>
  <c r="O35" i="1"/>
  <c r="O27" i="1"/>
  <c r="O37" i="1"/>
  <c r="O21" i="1"/>
  <c r="C16" i="1"/>
  <c r="D18" i="1" s="1"/>
  <c r="O29" i="1"/>
  <c r="O26" i="1"/>
  <c r="O33" i="1"/>
  <c r="O24" i="1"/>
  <c r="O38" i="1"/>
  <c r="O22" i="1"/>
  <c r="C18" i="2"/>
  <c r="F18" i="2"/>
  <c r="F19" i="2" s="1"/>
  <c r="E16" i="1" l="1"/>
  <c r="E17" i="1" s="1"/>
</calcChain>
</file>

<file path=xl/sharedStrings.xml><?xml version="1.0" encoding="utf-8"?>
<sst xmlns="http://schemas.openxmlformats.org/spreadsheetml/2006/main" count="321" uniqueCount="128">
  <si>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</si>
  <si>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</si>
  <si>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</si>
  <si>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</si>
  <si>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</si>
  <si>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</si>
  <si>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</si>
  <si>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</si>
  <si>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</si>
  <si>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</si>
  <si>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</si>
  <si>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</si>
  <si>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</si>
  <si>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</si>
  <si>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</si>
  <si>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</si>
  <si>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</si>
  <si>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</si>
  <si>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</si>
  <si>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</si>
  <si>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</si>
  <si>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</si>
  <si>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</si>
  <si>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</si>
  <si>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</si>
  <si>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</si>
  <si>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</si>
  <si>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</si>
  <si>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</si>
  <si>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</si>
  <si>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</si>
  <si>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</si>
  <si>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V440 And / GSC 2791-2148</t>
  </si>
  <si>
    <t>EA</t>
  </si>
  <si>
    <t>IBVS 5741</t>
  </si>
  <si>
    <t>I</t>
  </si>
  <si>
    <t>II</t>
  </si>
  <si>
    <t>IBVS 5645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</si>
  <si>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</si>
  <si>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</si>
  <si>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</si>
  <si>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</si>
  <si>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</si>
  <si>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</si>
  <si>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</si>
  <si>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5871</t>
  </si>
  <si>
    <t>OEJV 0074</t>
  </si>
  <si>
    <t>CCD+R</t>
  </si>
  <si>
    <t>CCD+I</t>
  </si>
  <si>
    <t>CCD+V</t>
  </si>
  <si>
    <t>OEJV 0107</t>
  </si>
  <si>
    <t>IBVS 6042</t>
  </si>
  <si>
    <t>Add cycle</t>
  </si>
  <si>
    <t>Old Cycle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</si>
  <si>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</si>
  <si>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</si>
  <si>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</si>
  <si>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</si>
  <si>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</si>
  <si>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</si>
  <si>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</si>
  <si>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</si>
  <si>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</si>
  <si>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</si>
  <si>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</si>
  <si>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</si>
  <si>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2452898.51854 </t>
  </si>
  <si>
    <t> 16.09.2003 00:26 </t>
  </si>
  <si>
    <t> -0.00076 </t>
  </si>
  <si>
    <t>C </t>
  </si>
  <si>
    <t>R</t>
  </si>
  <si>
    <t> L.Šmelcer </t>
  </si>
  <si>
    <t>OEJV 074 </t>
  </si>
  <si>
    <t>2453217.40932 </t>
  </si>
  <si>
    <t> 30.07.2004 21:49 </t>
  </si>
  <si>
    <t> -0.00388 </t>
  </si>
  <si>
    <t>m</t>
  </si>
  <si>
    <t> D.Motl </t>
  </si>
  <si>
    <t>2453224.53071 </t>
  </si>
  <si>
    <t> 07.08.2004 00:44 </t>
  </si>
  <si>
    <t> -0.00419 </t>
  </si>
  <si>
    <t> Koss &amp; Motl </t>
  </si>
  <si>
    <t>2453254.6016 </t>
  </si>
  <si>
    <t> 06.09.2004 02:26 </t>
  </si>
  <si>
    <t> -0.0027 </t>
  </si>
  <si>
    <t> M.Zejda et al. </t>
  </si>
  <si>
    <t>IBVS 5741 </t>
  </si>
  <si>
    <t>2453285.45738 </t>
  </si>
  <si>
    <t> 06.10.2004 22:58 </t>
  </si>
  <si>
    <t> -0.00762 </t>
  </si>
  <si>
    <t>2453331.35467 </t>
  </si>
  <si>
    <t> 21.11.2004 20:30 </t>
  </si>
  <si>
    <t> -0.00573 </t>
  </si>
  <si>
    <t>2453361.42296 </t>
  </si>
  <si>
    <t> 21.12.2004 22:09 </t>
  </si>
  <si>
    <t> -0.00684 </t>
  </si>
  <si>
    <t>2453381.20325 </t>
  </si>
  <si>
    <t> 10.01.2005 16:52 </t>
  </si>
  <si>
    <t> -0.00905 </t>
  </si>
  <si>
    <t>2453388.32696 </t>
  </si>
  <si>
    <t> 17.01.2005 19:50 </t>
  </si>
  <si>
    <t> -0.00704 </t>
  </si>
  <si>
    <t>2453411.27239 </t>
  </si>
  <si>
    <t> 09.02.2005 18:32 </t>
  </si>
  <si>
    <t> -0.00931 </t>
  </si>
  <si>
    <t>2454774.6632 </t>
  </si>
  <si>
    <t> 04.11.2008 03:55 </t>
  </si>
  <si>
    <t> -0.0284 </t>
  </si>
  <si>
    <t> R.Diethelm </t>
  </si>
  <si>
    <t>IBVS 5871 </t>
  </si>
  <si>
    <t>2455154.4819 </t>
  </si>
  <si>
    <t> 18.11.2009 23:33 </t>
  </si>
  <si>
    <t> -0.0337 </t>
  </si>
  <si>
    <t>-I</t>
  </si>
  <si>
    <t> F.Agerer </t>
  </si>
  <si>
    <t>BAVM 212 </t>
  </si>
  <si>
    <t>2456245.6533 </t>
  </si>
  <si>
    <t> 14.11.2012 03:40 </t>
  </si>
  <si>
    <t> -0.0650 </t>
  </si>
  <si>
    <t>IBVS 6042 </t>
  </si>
  <si>
    <t>2456986.2883 </t>
  </si>
  <si>
    <t> 24.11.2014 18:55 </t>
  </si>
  <si>
    <t> -0.0868 </t>
  </si>
  <si>
    <t>o</t>
  </si>
  <si>
    <t> W.Moschner &amp; P.Frank </t>
  </si>
  <si>
    <t>BAVM 239 </t>
  </si>
  <si>
    <t>V0440 And / GSC 2791-2148</t>
  </si>
  <si>
    <t>OEJV234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</si>
</sst>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V0440 And - O-C Diagr.</a:t>
            </a:r>
          </a:p>
        </c:rich>
      </c:tx>
      <c:layout>
        <c:manualLayout>
          <c:xMode val="edge"/>
          <c:yMode val="edge"/>
          <c:x val="0.36348983840670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8012930391863760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  <c:pt idx="22">
                  <c:v>3208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60-4AF3-A865-D57F3318FD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  <c:pt idx="22">
                  <c:v>3208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60-4AF3-A865-D57F3318FD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  <c:pt idx="22">
                  <c:v>3208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1">
                  <c:v>-2.3667554851272143E-2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60-4AF3-A865-D57F3318FD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  <c:pt idx="22">
                  <c:v>3208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-1.402009220328182E-3</c:v>
                </c:pt>
                <c:pt idx="1">
                  <c:v>-6.1731914320262149E-4</c:v>
                </c:pt>
                <c:pt idx="2">
                  <c:v>1.7171323124784976E-3</c:v>
                </c:pt>
                <c:pt idx="3">
                  <c:v>4.5304016384761781E-4</c:v>
                </c:pt>
                <c:pt idx="4">
                  <c:v>4.5304016384761781E-4</c:v>
                </c:pt>
                <c:pt idx="5">
                  <c:v>4.5304016384761781E-4</c:v>
                </c:pt>
                <c:pt idx="6">
                  <c:v>2.5414548872504383E-4</c:v>
                </c:pt>
                <c:pt idx="7">
                  <c:v>2.5414548872504383E-4</c:v>
                </c:pt>
                <c:pt idx="8">
                  <c:v>2.5414548872504383E-4</c:v>
                </c:pt>
                <c:pt idx="9">
                  <c:v>2.2132568483357318E-3</c:v>
                </c:pt>
                <c:pt idx="10">
                  <c:v>1.998432373511605E-3</c:v>
                </c:pt>
                <c:pt idx="11">
                  <c:v>-2.2252867638599128E-3</c:v>
                </c:pt>
                <c:pt idx="12">
                  <c:v>3.8072530878707767E-4</c:v>
                </c:pt>
                <c:pt idx="13">
                  <c:v>-2.6016333868028596E-4</c:v>
                </c:pt>
                <c:pt idx="14">
                  <c:v>-2.1615374498651363E-3</c:v>
                </c:pt>
                <c:pt idx="15">
                  <c:v>-4.0432125388178974E-5</c:v>
                </c:pt>
                <c:pt idx="16">
                  <c:v>-1.9524260933394544E-3</c:v>
                </c:pt>
                <c:pt idx="17">
                  <c:v>2.3158597541623749E-3</c:v>
                </c:pt>
                <c:pt idx="18">
                  <c:v>2.2807039931649342E-4</c:v>
                </c:pt>
                <c:pt idx="19">
                  <c:v>8.5368752479553223E-4</c:v>
                </c:pt>
                <c:pt idx="20">
                  <c:v>-1.3422508258372545E-2</c:v>
                </c:pt>
                <c:pt idx="22">
                  <c:v>-4.9478525666927453E-2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60-4AF3-A865-D57F3318FD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  <c:pt idx="22">
                  <c:v>3208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60-4AF3-A865-D57F3318FD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  <c:pt idx="22">
                  <c:v>3208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60-4AF3-A865-D57F3318FD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1.4E-3</c:v>
                  </c:pt>
                  <c:pt idx="18">
                    <c:v>5.0000000000000001E-4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  <c:pt idx="22">
                  <c:v>3208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60-4AF3-A865-D57F3318FD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-1185</c:v>
                </c:pt>
                <c:pt idx="1">
                  <c:v>-1184</c:v>
                </c:pt>
                <c:pt idx="2">
                  <c:v>-1093.5</c:v>
                </c:pt>
                <c:pt idx="3">
                  <c:v>-983.5</c:v>
                </c:pt>
                <c:pt idx="4">
                  <c:v>-983.5</c:v>
                </c:pt>
                <c:pt idx="5">
                  <c:v>-983.5</c:v>
                </c:pt>
                <c:pt idx="6">
                  <c:v>-979</c:v>
                </c:pt>
                <c:pt idx="7">
                  <c:v>-979</c:v>
                </c:pt>
                <c:pt idx="8">
                  <c:v>-979</c:v>
                </c:pt>
                <c:pt idx="9">
                  <c:v>-960</c:v>
                </c:pt>
                <c:pt idx="10">
                  <c:v>-952.5</c:v>
                </c:pt>
                <c:pt idx="11">
                  <c:v>-940.5</c:v>
                </c:pt>
                <c:pt idx="12">
                  <c:v>-911.5</c:v>
                </c:pt>
                <c:pt idx="13">
                  <c:v>-892.5</c:v>
                </c:pt>
                <c:pt idx="14">
                  <c:v>-880</c:v>
                </c:pt>
                <c:pt idx="15">
                  <c:v>-875.5</c:v>
                </c:pt>
                <c:pt idx="16">
                  <c:v>-861</c:v>
                </c:pt>
                <c:pt idx="17">
                  <c:v>-8.5</c:v>
                </c:pt>
                <c:pt idx="18">
                  <c:v>0.5</c:v>
                </c:pt>
                <c:pt idx="19">
                  <c:v>240.5</c:v>
                </c:pt>
                <c:pt idx="20">
                  <c:v>930</c:v>
                </c:pt>
                <c:pt idx="21">
                  <c:v>1398</c:v>
                </c:pt>
                <c:pt idx="22">
                  <c:v>3208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17">
                  <c:v>2.7421448158686606E-3</c:v>
                </c:pt>
                <c:pt idx="18">
                  <c:v>2.5923898335715673E-3</c:v>
                </c:pt>
                <c:pt idx="19">
                  <c:v>-1.4010763610175902E-3</c:v>
                </c:pt>
                <c:pt idx="20">
                  <c:v>-1.2873971949222691E-2</c:v>
                </c:pt>
                <c:pt idx="21">
                  <c:v>-2.066123102867155E-2</c:v>
                </c:pt>
                <c:pt idx="22">
                  <c:v>-5.077862191286478E-2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60-4AF3-A865-D57F3318F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977240"/>
        <c:axId val="1"/>
      </c:scatterChart>
      <c:valAx>
        <c:axId val="626977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88725359249322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977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01794020497032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V440 And - O-C Diagr.</a:t>
            </a:r>
          </a:p>
        </c:rich>
      </c:tx>
      <c:layout>
        <c:manualLayout>
          <c:xMode val="edge"/>
          <c:yMode val="edge"/>
          <c:x val="0.36348983840670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1421712046357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1">
                  <c:v>-1.2369127944111824E-10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E-4E17-96A3-3B3AE02DF6B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2">
                  <c:v>-2.7050000127928797E-2</c:v>
                </c:pt>
                <c:pt idx="9">
                  <c:v>-6.9900000125926454E-2</c:v>
                </c:pt>
                <c:pt idx="10">
                  <c:v>-7.255000012810342E-2</c:v>
                </c:pt>
                <c:pt idx="17">
                  <c:v>-0.38375000012456439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E-4E17-96A3-3B3AE02DF6B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7E-4E17-96A3-3B3AE02DF6B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7E-4E17-96A3-3B3AE02DF6B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7E-4E17-96A3-3B3AE02DF6B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7E-4E17-96A3-3B3AE02DF6B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4.0000000000000002E-4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  <c:pt idx="0">
                  <c:v>-4.6000012662261724E-4</c:v>
                </c:pt>
                <c:pt idx="3">
                  <c:v>-6.4030000125057995E-2</c:v>
                </c:pt>
                <c:pt idx="4">
                  <c:v>-6.4030000125057995E-2</c:v>
                </c:pt>
                <c:pt idx="5">
                  <c:v>-6.4030000125057995E-2</c:v>
                </c:pt>
                <c:pt idx="6">
                  <c:v>-6.5690000126778614E-2</c:v>
                </c:pt>
                <c:pt idx="7">
                  <c:v>-6.5690000126778614E-2</c:v>
                </c:pt>
                <c:pt idx="8">
                  <c:v>-6.5690000126778614E-2</c:v>
                </c:pt>
                <c:pt idx="11">
                  <c:v>-8.067000012670178E-2</c:v>
                </c:pt>
                <c:pt idx="12">
                  <c:v>-8.7480000125651713E-2</c:v>
                </c:pt>
                <c:pt idx="13">
                  <c:v>-9.4290000124601647E-2</c:v>
                </c:pt>
                <c:pt idx="14">
                  <c:v>-0.10025000012683449</c:v>
                </c:pt>
                <c:pt idx="15">
                  <c:v>-9.959000012895558E-2</c:v>
                </c:pt>
                <c:pt idx="16">
                  <c:v>-0.10621000012906734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7E-4E17-96A3-3B3AE02DF6B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0</c:v>
                </c:pt>
                <c:pt idx="2">
                  <c:v>90.5</c:v>
                </c:pt>
                <c:pt idx="3">
                  <c:v>200.5</c:v>
                </c:pt>
                <c:pt idx="4">
                  <c:v>200.5</c:v>
                </c:pt>
                <c:pt idx="5">
                  <c:v>200.5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224</c:v>
                </c:pt>
                <c:pt idx="10">
                  <c:v>231.5</c:v>
                </c:pt>
                <c:pt idx="11">
                  <c:v>243.5</c:v>
                </c:pt>
                <c:pt idx="12">
                  <c:v>272.5</c:v>
                </c:pt>
                <c:pt idx="13">
                  <c:v>291.5</c:v>
                </c:pt>
                <c:pt idx="14">
                  <c:v>304</c:v>
                </c:pt>
                <c:pt idx="15">
                  <c:v>308.5</c:v>
                </c:pt>
                <c:pt idx="16">
                  <c:v>323</c:v>
                </c:pt>
                <c:pt idx="17">
                  <c:v>1184.5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9.4200909388323067E-4</c:v>
                </c:pt>
                <c:pt idx="1">
                  <c:v>6.1731902250782011E-4</c:v>
                </c:pt>
                <c:pt idx="2">
                  <c:v>-2.8767132436966835E-2</c:v>
                </c:pt>
                <c:pt idx="3">
                  <c:v>-6.4483040288262003E-2</c:v>
                </c:pt>
                <c:pt idx="4">
                  <c:v>-6.4483040288262003E-2</c:v>
                </c:pt>
                <c:pt idx="5">
                  <c:v>-6.4483040288262003E-2</c:v>
                </c:pt>
                <c:pt idx="6">
                  <c:v>-6.5944145609451346E-2</c:v>
                </c:pt>
                <c:pt idx="7">
                  <c:v>-6.5944145609451346E-2</c:v>
                </c:pt>
                <c:pt idx="8">
                  <c:v>-6.5944145609451346E-2</c:v>
                </c:pt>
                <c:pt idx="9">
                  <c:v>-7.2113256965584141E-2</c:v>
                </c:pt>
                <c:pt idx="10">
                  <c:v>-7.4548432500899722E-2</c:v>
                </c:pt>
                <c:pt idx="11">
                  <c:v>-7.8444713357404647E-2</c:v>
                </c:pt>
                <c:pt idx="12">
                  <c:v>-8.786072542729155E-2</c:v>
                </c:pt>
                <c:pt idx="13">
                  <c:v>-9.4029836783424359E-2</c:v>
                </c:pt>
                <c:pt idx="14">
                  <c:v>-9.8088462675616994E-2</c:v>
                </c:pt>
                <c:pt idx="15">
                  <c:v>-9.9549567996806337E-2</c:v>
                </c:pt>
                <c:pt idx="16">
                  <c:v>-0.10425757403174979</c:v>
                </c:pt>
                <c:pt idx="17">
                  <c:v>-0.38397807052166599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7E-4E17-96A3-3B3AE02DF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977960"/>
        <c:axId val="1"/>
      </c:scatterChart>
      <c:valAx>
        <c:axId val="626977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977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516979804018842"/>
          <c:y val="0.92073298764483702"/>
          <c:w val="0.7237484894355895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F5C57FC-D49F-648E-5DB3-4F9ACB550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28575</xdr:rowOff>
    </xdr:from>
    <xdr:to>
      <xdr:col>15</xdr:col>
      <xdr:colOff>238125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717F0D5-7315-E651-2913-C64C685F4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74.pdf" TargetMode="External"/><Relationship Id="rId13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var.astro.cz/oejv/issues/oejv074.pdf" TargetMode="External"/><Relationship Id="rId7" Type="http://schemas.openxmlformats.org/officeDocument/2006/relationships/hyperlink" Target="http://var.astro.cz/oejv/issues/oejv074.pdf" TargetMode="External"/><Relationship Id="rId12" Type="http://schemas.openxmlformats.org/officeDocument/2006/relationships/hyperlink" Target="http://www.konkoly.hu/cgi-bin/IBVS?5871" TargetMode="External"/><Relationship Id="rId2" Type="http://schemas.openxmlformats.org/officeDocument/2006/relationships/hyperlink" Target="http://var.astro.cz/oejv/issues/oejv074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74.pdf" TargetMode="External"/><Relationship Id="rId11" Type="http://schemas.openxmlformats.org/officeDocument/2006/relationships/hyperlink" Target="http://var.astro.cz/oejv/issues/oejv074.pdf" TargetMode="External"/><Relationship Id="rId5" Type="http://schemas.openxmlformats.org/officeDocument/2006/relationships/hyperlink" Target="http://www.konkoly.hu/cgi-bin/IBVS?5741" TargetMode="External"/><Relationship Id="rId15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var.astro.cz/oejv/issues/oejv074.pdf" TargetMode="External"/><Relationship Id="rId4" Type="http://schemas.openxmlformats.org/officeDocument/2006/relationships/hyperlink" Target="http://var.astro.cz/oejv/issues/oejv074.pdf" TargetMode="External"/><Relationship Id="rId9" Type="http://schemas.openxmlformats.org/officeDocument/2006/relationships/hyperlink" Target="http://var.astro.cz/oejv/issues/oejv074.pdf" TargetMode="External"/><Relationship Id="rId14" Type="http://schemas.openxmlformats.org/officeDocument/2006/relationships/hyperlink" Target="http://www.konkoly.hu/cgi-bin/IBVS?6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126</v>
      </c>
    </row>
    <row r="2" spans="1:6" x14ac:dyDescent="0.2">
      <c r="A2" t="s">
        <v>25</v>
      </c>
      <c r="B2" t="s">
        <v>33</v>
      </c>
      <c r="C2" s="3"/>
      <c r="D2" s="3"/>
    </row>
    <row r="3" spans="1:6" ht="13.5" thickBot="1" x14ac:dyDescent="0.25"/>
    <row r="4" spans="1:6" ht="14.25" thickTop="1" thickBot="1" x14ac:dyDescent="0.25">
      <c r="A4" s="14" t="s">
        <v>0</v>
      </c>
      <c r="C4" s="12">
        <v>52900.101900000125</v>
      </c>
      <c r="D4" s="13">
        <v>1.5829</v>
      </c>
    </row>
    <row r="5" spans="1:6" ht="13.5" thickTop="1" x14ac:dyDescent="0.2">
      <c r="A5" s="15" t="s">
        <v>38</v>
      </c>
      <c r="B5" s="16"/>
      <c r="C5" s="17">
        <v>-9.5</v>
      </c>
      <c r="D5" s="16" t="s">
        <v>39</v>
      </c>
    </row>
    <row r="6" spans="1:6" x14ac:dyDescent="0.2">
      <c r="A6" s="5" t="s">
        <v>1</v>
      </c>
    </row>
    <row r="7" spans="1:6" x14ac:dyDescent="0.2">
      <c r="A7" t="s">
        <v>2</v>
      </c>
      <c r="C7">
        <v>54773.871684274636</v>
      </c>
    </row>
    <row r="8" spans="1:6" x14ac:dyDescent="0.2">
      <c r="A8" t="s">
        <v>3</v>
      </c>
      <c r="C8">
        <v>1.5825753099286246</v>
      </c>
    </row>
    <row r="9" spans="1:6" x14ac:dyDescent="0.2">
      <c r="A9" s="31" t="s">
        <v>44</v>
      </c>
      <c r="C9" s="32">
        <v>40</v>
      </c>
      <c r="D9" s="19" t="str">
        <f>"F"&amp;C9</f>
        <v>F40</v>
      </c>
      <c r="E9" s="20" t="str">
        <f>"G"&amp;C9</f>
        <v>G40</v>
      </c>
    </row>
    <row r="10" spans="1:6" ht="13.5" thickBot="1" x14ac:dyDescent="0.25">
      <c r="A10" s="16"/>
      <c r="B10" s="16"/>
      <c r="C10" s="4" t="s">
        <v>21</v>
      </c>
      <c r="D10" s="4" t="s">
        <v>22</v>
      </c>
      <c r="E10" s="16"/>
    </row>
    <row r="11" spans="1:6" x14ac:dyDescent="0.2">
      <c r="A11" s="16" t="s">
        <v>16</v>
      </c>
      <c r="B11" s="16"/>
      <c r="C11" s="18">
        <f ca="1">INTERCEPT(INDIRECT($E$9):G992,INDIRECT($D$9):F992)</f>
        <v>2.6007095548102946E-3</v>
      </c>
      <c r="D11" s="3"/>
      <c r="E11" s="16"/>
    </row>
    <row r="12" spans="1:6" x14ac:dyDescent="0.2">
      <c r="A12" s="16" t="s">
        <v>17</v>
      </c>
      <c r="B12" s="16"/>
      <c r="C12" s="18">
        <f ca="1">SLOPE(INDIRECT($E$9):G992,INDIRECT($D$9):F992)</f>
        <v>-1.6639442477454824E-5</v>
      </c>
      <c r="D12" s="3"/>
      <c r="E12" s="16"/>
    </row>
    <row r="13" spans="1:6" x14ac:dyDescent="0.2">
      <c r="A13" s="16" t="s">
        <v>20</v>
      </c>
      <c r="B13" s="16"/>
      <c r="C13" s="3" t="s">
        <v>14</v>
      </c>
    </row>
    <row r="14" spans="1:6" x14ac:dyDescent="0.2">
      <c r="A14" s="16"/>
      <c r="B14" s="16"/>
      <c r="C14" s="16"/>
    </row>
    <row r="15" spans="1:6" x14ac:dyDescent="0.2">
      <c r="A15" s="21" t="s">
        <v>18</v>
      </c>
      <c r="B15" s="16"/>
      <c r="C15" s="22">
        <f ca="1">(C7+C11)+(C8+C12)*INT(MAX(F21:F3533))</f>
        <v>59850.72249990375</v>
      </c>
      <c r="E15" s="23" t="s">
        <v>52</v>
      </c>
      <c r="F15" s="17">
        <v>1</v>
      </c>
    </row>
    <row r="16" spans="1:6" x14ac:dyDescent="0.2">
      <c r="A16" s="25" t="s">
        <v>4</v>
      </c>
      <c r="B16" s="16"/>
      <c r="C16" s="26">
        <f ca="1">+C8+C12</f>
        <v>1.5825586704861472</v>
      </c>
      <c r="E16" s="23" t="s">
        <v>40</v>
      </c>
      <c r="F16" s="24">
        <f ca="1">NOW()+15018.5+$C$5/24</f>
        <v>60314.598225694441</v>
      </c>
    </row>
    <row r="17" spans="1:18" ht="13.5" thickBot="1" x14ac:dyDescent="0.25">
      <c r="A17" s="23" t="s">
        <v>31</v>
      </c>
      <c r="B17" s="16"/>
      <c r="C17" s="16">
        <f>COUNT(C21:C2191)</f>
        <v>23</v>
      </c>
      <c r="E17" s="23" t="s">
        <v>53</v>
      </c>
      <c r="F17" s="24">
        <f ca="1">ROUND(2*(F16-$C$7)/$C$8,0)/2+F15</f>
        <v>3502</v>
      </c>
    </row>
    <row r="18" spans="1:18" ht="14.25" thickTop="1" thickBot="1" x14ac:dyDescent="0.25">
      <c r="A18" s="25" t="s">
        <v>5</v>
      </c>
      <c r="B18" s="16"/>
      <c r="C18" s="28">
        <f ca="1">+C15</f>
        <v>59850.72249990375</v>
      </c>
      <c r="D18" s="29">
        <f ca="1">+C16</f>
        <v>1.5825586704861472</v>
      </c>
      <c r="E18" s="23" t="s">
        <v>41</v>
      </c>
      <c r="F18" s="20">
        <f ca="1">ROUND(2*(F16-$C$15)/$C$16,0)/2+F15</f>
        <v>294</v>
      </c>
    </row>
    <row r="19" spans="1:18" ht="13.5" thickTop="1" x14ac:dyDescent="0.2">
      <c r="E19" s="23" t="s">
        <v>42</v>
      </c>
      <c r="F19" s="27">
        <f ca="1">+$C$15+$C$16*F18-15018.5-$C$5/24</f>
        <v>45297.890582360014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59</v>
      </c>
      <c r="K20" s="7" t="s">
        <v>57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s="33" t="s">
        <v>46</v>
      </c>
      <c r="B21" s="39" t="s">
        <v>35</v>
      </c>
      <c r="C21" s="33">
        <v>52898.518539999997</v>
      </c>
      <c r="D21" s="33" t="s">
        <v>47</v>
      </c>
      <c r="E21">
        <f t="shared" ref="E21:E42" si="0">+(C21-C$7)/C$8</f>
        <v>-1185.0008859036343</v>
      </c>
      <c r="F21">
        <f t="shared" ref="F21:F42" si="1">ROUND(2*E21,0)/2</f>
        <v>-1185</v>
      </c>
      <c r="G21">
        <f t="shared" ref="G21:G42" si="2">+C21-(C$7+F21*C$8)</f>
        <v>-1.402009220328182E-3</v>
      </c>
      <c r="K21">
        <f t="shared" ref="K21:K41" si="3">+G21</f>
        <v>-1.402009220328182E-3</v>
      </c>
      <c r="Q21" s="2">
        <f t="shared" ref="Q21:Q42" si="4">+C21-15018.5</f>
        <v>37880.018539999997</v>
      </c>
    </row>
    <row r="22" spans="1:18" x14ac:dyDescent="0.2">
      <c r="A22" s="40" t="s">
        <v>12</v>
      </c>
      <c r="B22" s="39"/>
      <c r="C22" s="33">
        <v>52900.101900000001</v>
      </c>
      <c r="D22" s="33" t="s">
        <v>14</v>
      </c>
      <c r="E22">
        <f t="shared" si="0"/>
        <v>-1184.0003900725226</v>
      </c>
      <c r="F22">
        <f t="shared" si="1"/>
        <v>-1184</v>
      </c>
      <c r="G22">
        <f t="shared" si="2"/>
        <v>-6.1731914320262149E-4</v>
      </c>
      <c r="K22">
        <f t="shared" si="3"/>
        <v>-6.1731914320262149E-4</v>
      </c>
      <c r="Q22" s="2">
        <f t="shared" si="4"/>
        <v>37881.601900000001</v>
      </c>
    </row>
    <row r="23" spans="1:18" x14ac:dyDescent="0.2">
      <c r="A23" s="40" t="s">
        <v>37</v>
      </c>
      <c r="B23" s="41" t="s">
        <v>36</v>
      </c>
      <c r="C23" s="42">
        <v>53043.327299999997</v>
      </c>
      <c r="D23" s="42">
        <v>6.9999999999999999E-4</v>
      </c>
      <c r="E23">
        <f t="shared" si="0"/>
        <v>-1093.4989149759249</v>
      </c>
      <c r="F23">
        <f t="shared" si="1"/>
        <v>-1093.5</v>
      </c>
      <c r="G23">
        <f t="shared" si="2"/>
        <v>1.7171323124784976E-3</v>
      </c>
      <c r="K23">
        <f t="shared" si="3"/>
        <v>1.7171323124784976E-3</v>
      </c>
      <c r="Q23" s="2">
        <f t="shared" si="4"/>
        <v>38024.827299999997</v>
      </c>
      <c r="R23" t="s">
        <v>57</v>
      </c>
    </row>
    <row r="24" spans="1:18" x14ac:dyDescent="0.2">
      <c r="A24" s="33" t="s">
        <v>46</v>
      </c>
      <c r="B24" s="39" t="s">
        <v>36</v>
      </c>
      <c r="C24" s="33">
        <v>53217.409319999999</v>
      </c>
      <c r="D24" s="33" t="s">
        <v>48</v>
      </c>
      <c r="E24">
        <f t="shared" si="0"/>
        <v>-983.49971373231836</v>
      </c>
      <c r="F24">
        <f t="shared" si="1"/>
        <v>-983.5</v>
      </c>
      <c r="G24">
        <f t="shared" si="2"/>
        <v>4.5304016384761781E-4</v>
      </c>
      <c r="K24">
        <f t="shared" si="3"/>
        <v>4.5304016384761781E-4</v>
      </c>
      <c r="Q24" s="2">
        <f t="shared" si="4"/>
        <v>38198.909319999999</v>
      </c>
    </row>
    <row r="25" spans="1:18" x14ac:dyDescent="0.2">
      <c r="A25" s="33" t="s">
        <v>46</v>
      </c>
      <c r="B25" s="39" t="s">
        <v>36</v>
      </c>
      <c r="C25" s="33">
        <v>53217.409319999999</v>
      </c>
      <c r="D25" s="33" t="s">
        <v>47</v>
      </c>
      <c r="E25">
        <f t="shared" si="0"/>
        <v>-983.49971373231836</v>
      </c>
      <c r="F25">
        <f t="shared" si="1"/>
        <v>-983.5</v>
      </c>
      <c r="G25">
        <f t="shared" si="2"/>
        <v>4.5304016384761781E-4</v>
      </c>
      <c r="K25">
        <f t="shared" si="3"/>
        <v>4.5304016384761781E-4</v>
      </c>
      <c r="Q25" s="2">
        <f t="shared" si="4"/>
        <v>38198.909319999999</v>
      </c>
    </row>
    <row r="26" spans="1:18" x14ac:dyDescent="0.2">
      <c r="A26" s="33" t="s">
        <v>46</v>
      </c>
      <c r="B26" s="39" t="s">
        <v>36</v>
      </c>
      <c r="C26" s="33">
        <v>53217.409319999999</v>
      </c>
      <c r="D26" s="33" t="s">
        <v>49</v>
      </c>
      <c r="E26">
        <f t="shared" si="0"/>
        <v>-983.49971373231836</v>
      </c>
      <c r="F26">
        <f t="shared" si="1"/>
        <v>-983.5</v>
      </c>
      <c r="G26">
        <f t="shared" si="2"/>
        <v>4.5304016384761781E-4</v>
      </c>
      <c r="K26">
        <f t="shared" si="3"/>
        <v>4.5304016384761781E-4</v>
      </c>
      <c r="Q26" s="2">
        <f t="shared" si="4"/>
        <v>38198.909319999999</v>
      </c>
    </row>
    <row r="27" spans="1:18" x14ac:dyDescent="0.2">
      <c r="A27" s="33" t="s">
        <v>46</v>
      </c>
      <c r="B27" s="39" t="s">
        <v>35</v>
      </c>
      <c r="C27" s="33">
        <v>53224.530709999999</v>
      </c>
      <c r="D27" s="33" t="s">
        <v>48</v>
      </c>
      <c r="E27">
        <f t="shared" si="0"/>
        <v>-978.99983941017865</v>
      </c>
      <c r="F27">
        <f t="shared" si="1"/>
        <v>-979</v>
      </c>
      <c r="G27">
        <f t="shared" si="2"/>
        <v>2.5414548872504383E-4</v>
      </c>
      <c r="K27">
        <f t="shared" si="3"/>
        <v>2.5414548872504383E-4</v>
      </c>
      <c r="Q27" s="2">
        <f t="shared" si="4"/>
        <v>38206.030709999999</v>
      </c>
    </row>
    <row r="28" spans="1:18" x14ac:dyDescent="0.2">
      <c r="A28" s="33" t="s">
        <v>46</v>
      </c>
      <c r="B28" s="39" t="s">
        <v>35</v>
      </c>
      <c r="C28" s="33">
        <v>53224.530709999999</v>
      </c>
      <c r="D28" s="33" t="s">
        <v>47</v>
      </c>
      <c r="E28">
        <f t="shared" si="0"/>
        <v>-978.99983941017865</v>
      </c>
      <c r="F28">
        <f t="shared" si="1"/>
        <v>-979</v>
      </c>
      <c r="G28">
        <f t="shared" si="2"/>
        <v>2.5414548872504383E-4</v>
      </c>
      <c r="K28">
        <f t="shared" si="3"/>
        <v>2.5414548872504383E-4</v>
      </c>
      <c r="Q28" s="2">
        <f t="shared" si="4"/>
        <v>38206.030709999999</v>
      </c>
    </row>
    <row r="29" spans="1:18" x14ac:dyDescent="0.2">
      <c r="A29" s="33" t="s">
        <v>46</v>
      </c>
      <c r="B29" s="39" t="s">
        <v>35</v>
      </c>
      <c r="C29" s="33">
        <v>53224.530709999999</v>
      </c>
      <c r="D29" s="33" t="s">
        <v>49</v>
      </c>
      <c r="E29">
        <f t="shared" si="0"/>
        <v>-978.99983941017865</v>
      </c>
      <c r="F29">
        <f t="shared" si="1"/>
        <v>-979</v>
      </c>
      <c r="G29">
        <f t="shared" si="2"/>
        <v>2.5414548872504383E-4</v>
      </c>
      <c r="K29">
        <f t="shared" si="3"/>
        <v>2.5414548872504383E-4</v>
      </c>
      <c r="Q29" s="2">
        <f t="shared" si="4"/>
        <v>38206.030709999999</v>
      </c>
    </row>
    <row r="30" spans="1:18" x14ac:dyDescent="0.2">
      <c r="A30" s="9" t="s">
        <v>34</v>
      </c>
      <c r="B30" s="41" t="s">
        <v>35</v>
      </c>
      <c r="C30" s="42">
        <v>53254.601600000002</v>
      </c>
      <c r="D30" s="42">
        <v>2.0000000000000001E-4</v>
      </c>
      <c r="E30">
        <f t="shared" si="0"/>
        <v>-959.99860148402968</v>
      </c>
      <c r="F30">
        <f t="shared" si="1"/>
        <v>-960</v>
      </c>
      <c r="G30">
        <f t="shared" si="2"/>
        <v>2.2132568483357318E-3</v>
      </c>
      <c r="K30">
        <f t="shared" si="3"/>
        <v>2.2132568483357318E-3</v>
      </c>
      <c r="Q30" s="2">
        <f t="shared" si="4"/>
        <v>38236.101600000002</v>
      </c>
      <c r="R30" t="s">
        <v>57</v>
      </c>
    </row>
    <row r="31" spans="1:18" x14ac:dyDescent="0.2">
      <c r="A31" s="40" t="s">
        <v>37</v>
      </c>
      <c r="B31" s="41" t="s">
        <v>36</v>
      </c>
      <c r="C31" s="42">
        <v>53266.470699999998</v>
      </c>
      <c r="D31" s="42">
        <v>4.0000000000000002E-4</v>
      </c>
      <c r="E31">
        <f t="shared" si="0"/>
        <v>-952.49873722762879</v>
      </c>
      <c r="F31">
        <f t="shared" si="1"/>
        <v>-952.5</v>
      </c>
      <c r="G31">
        <f t="shared" si="2"/>
        <v>1.998432373511605E-3</v>
      </c>
      <c r="K31">
        <f t="shared" si="3"/>
        <v>1.998432373511605E-3</v>
      </c>
      <c r="Q31" s="2">
        <f t="shared" si="4"/>
        <v>38247.970699999998</v>
      </c>
      <c r="R31" t="s">
        <v>57</v>
      </c>
    </row>
    <row r="32" spans="1:18" x14ac:dyDescent="0.2">
      <c r="A32" s="33" t="s">
        <v>46</v>
      </c>
      <c r="B32" s="39" t="s">
        <v>36</v>
      </c>
      <c r="C32" s="33">
        <v>53285.45738</v>
      </c>
      <c r="D32" s="33" t="s">
        <v>48</v>
      </c>
      <c r="E32">
        <f t="shared" si="0"/>
        <v>-940.5014061174536</v>
      </c>
      <c r="F32">
        <f t="shared" si="1"/>
        <v>-940.5</v>
      </c>
      <c r="G32">
        <f t="shared" si="2"/>
        <v>-2.2252867638599128E-3</v>
      </c>
      <c r="K32">
        <f t="shared" si="3"/>
        <v>-2.2252867638599128E-3</v>
      </c>
      <c r="Q32" s="2">
        <f t="shared" si="4"/>
        <v>38266.95738</v>
      </c>
    </row>
    <row r="33" spans="1:18" x14ac:dyDescent="0.2">
      <c r="A33" s="33" t="s">
        <v>46</v>
      </c>
      <c r="B33" s="39" t="s">
        <v>36</v>
      </c>
      <c r="C33" s="33">
        <v>53331.354670000001</v>
      </c>
      <c r="D33" s="33" t="s">
        <v>48</v>
      </c>
      <c r="E33">
        <f t="shared" si="0"/>
        <v>-911.49975942673734</v>
      </c>
      <c r="F33">
        <f t="shared" si="1"/>
        <v>-911.5</v>
      </c>
      <c r="G33">
        <f t="shared" si="2"/>
        <v>3.8072530878707767E-4</v>
      </c>
      <c r="K33">
        <f t="shared" si="3"/>
        <v>3.8072530878707767E-4</v>
      </c>
      <c r="Q33" s="2">
        <f t="shared" si="4"/>
        <v>38312.854670000001</v>
      </c>
    </row>
    <row r="34" spans="1:18" x14ac:dyDescent="0.2">
      <c r="A34" s="33" t="s">
        <v>46</v>
      </c>
      <c r="B34" s="39" t="s">
        <v>36</v>
      </c>
      <c r="C34" s="33">
        <v>53361.422960000004</v>
      </c>
      <c r="D34" s="33" t="s">
        <v>47</v>
      </c>
      <c r="E34">
        <f t="shared" si="0"/>
        <v>-892.50016439238857</v>
      </c>
      <c r="F34">
        <f t="shared" si="1"/>
        <v>-892.5</v>
      </c>
      <c r="G34">
        <f t="shared" si="2"/>
        <v>-2.6016333868028596E-4</v>
      </c>
      <c r="K34">
        <f t="shared" si="3"/>
        <v>-2.6016333868028596E-4</v>
      </c>
      <c r="Q34" s="2">
        <f t="shared" si="4"/>
        <v>38342.922960000004</v>
      </c>
    </row>
    <row r="35" spans="1:18" x14ac:dyDescent="0.2">
      <c r="A35" s="33" t="s">
        <v>46</v>
      </c>
      <c r="B35" s="39" t="s">
        <v>35</v>
      </c>
      <c r="C35" s="33">
        <v>53381.203249999999</v>
      </c>
      <c r="D35" s="33" t="s">
        <v>48</v>
      </c>
      <c r="E35">
        <f t="shared" si="0"/>
        <v>-880.00136583544202</v>
      </c>
      <c r="F35">
        <f t="shared" si="1"/>
        <v>-880</v>
      </c>
      <c r="G35">
        <f t="shared" si="2"/>
        <v>-2.1615374498651363E-3</v>
      </c>
      <c r="K35">
        <f t="shared" si="3"/>
        <v>-2.1615374498651363E-3</v>
      </c>
      <c r="Q35" s="2">
        <f t="shared" si="4"/>
        <v>38362.703249999999</v>
      </c>
    </row>
    <row r="36" spans="1:18" x14ac:dyDescent="0.2">
      <c r="A36" s="33" t="s">
        <v>46</v>
      </c>
      <c r="B36" s="39" t="s">
        <v>36</v>
      </c>
      <c r="C36" s="33">
        <v>53388.326959999999</v>
      </c>
      <c r="D36" s="33" t="s">
        <v>48</v>
      </c>
      <c r="E36">
        <f t="shared" si="0"/>
        <v>-875.50002554831144</v>
      </c>
      <c r="F36">
        <f t="shared" si="1"/>
        <v>-875.5</v>
      </c>
      <c r="G36">
        <f t="shared" si="2"/>
        <v>-4.0432125388178974E-5</v>
      </c>
      <c r="K36">
        <f t="shared" si="3"/>
        <v>-4.0432125388178974E-5</v>
      </c>
      <c r="Q36" s="2">
        <f t="shared" si="4"/>
        <v>38369.826959999999</v>
      </c>
    </row>
    <row r="37" spans="1:18" x14ac:dyDescent="0.2">
      <c r="A37" s="33" t="s">
        <v>46</v>
      </c>
      <c r="B37" s="39" t="s">
        <v>35</v>
      </c>
      <c r="C37" s="33">
        <v>53411.272389999998</v>
      </c>
      <c r="D37" s="33" t="s">
        <v>48</v>
      </c>
      <c r="E37">
        <f t="shared" si="0"/>
        <v>-861.00123370185281</v>
      </c>
      <c r="F37">
        <f t="shared" si="1"/>
        <v>-861</v>
      </c>
      <c r="G37">
        <f t="shared" si="2"/>
        <v>-1.9524260933394544E-3</v>
      </c>
      <c r="K37">
        <f t="shared" si="3"/>
        <v>-1.9524260933394544E-3</v>
      </c>
      <c r="Q37" s="2">
        <f t="shared" si="4"/>
        <v>38392.772389999998</v>
      </c>
    </row>
    <row r="38" spans="1:18" x14ac:dyDescent="0.2">
      <c r="A38" s="9" t="s">
        <v>50</v>
      </c>
      <c r="B38" s="39" t="s">
        <v>36</v>
      </c>
      <c r="C38" s="33">
        <v>54760.42211</v>
      </c>
      <c r="D38" s="33">
        <v>1.4E-3</v>
      </c>
      <c r="E38">
        <f t="shared" si="0"/>
        <v>-8.4985366511520226</v>
      </c>
      <c r="F38">
        <f t="shared" si="1"/>
        <v>-8.5</v>
      </c>
      <c r="G38">
        <f t="shared" si="2"/>
        <v>2.3158597541623749E-3</v>
      </c>
      <c r="K38">
        <f t="shared" si="3"/>
        <v>2.3158597541623749E-3</v>
      </c>
      <c r="O38">
        <f t="shared" ref="O38:O43" ca="1" si="5">+C$11+C$12*$F38</f>
        <v>2.7421448158686606E-3</v>
      </c>
      <c r="Q38" s="2">
        <f t="shared" si="4"/>
        <v>39741.92211</v>
      </c>
    </row>
    <row r="39" spans="1:18" x14ac:dyDescent="0.2">
      <c r="A39" s="33" t="s">
        <v>45</v>
      </c>
      <c r="B39" s="39" t="s">
        <v>36</v>
      </c>
      <c r="C39" s="33">
        <v>54774.663200000003</v>
      </c>
      <c r="D39" s="33">
        <v>5.0000000000000001E-4</v>
      </c>
      <c r="E39">
        <f t="shared" si="0"/>
        <v>0.50014411345907961</v>
      </c>
      <c r="F39">
        <f t="shared" si="1"/>
        <v>0.5</v>
      </c>
      <c r="G39">
        <f t="shared" si="2"/>
        <v>2.2807039931649342E-4</v>
      </c>
      <c r="K39">
        <f t="shared" si="3"/>
        <v>2.2807039931649342E-4</v>
      </c>
      <c r="O39">
        <f t="shared" ca="1" si="5"/>
        <v>2.5923898335715673E-3</v>
      </c>
      <c r="Q39" s="2">
        <f t="shared" si="4"/>
        <v>39756.163200000003</v>
      </c>
      <c r="R39" t="s">
        <v>57</v>
      </c>
    </row>
    <row r="40" spans="1:18" x14ac:dyDescent="0.2">
      <c r="A40" s="20" t="s">
        <v>115</v>
      </c>
      <c r="B40" s="3" t="s">
        <v>36</v>
      </c>
      <c r="C40" s="8">
        <v>55154.481899999999</v>
      </c>
      <c r="D40" s="8" t="s">
        <v>65</v>
      </c>
      <c r="E40">
        <f t="shared" si="0"/>
        <v>240.50053942932325</v>
      </c>
      <c r="F40">
        <f t="shared" si="1"/>
        <v>240.5</v>
      </c>
      <c r="G40">
        <f t="shared" si="2"/>
        <v>8.5368752479553223E-4</v>
      </c>
      <c r="K40">
        <f t="shared" si="3"/>
        <v>8.5368752479553223E-4</v>
      </c>
      <c r="O40">
        <f t="shared" ca="1" si="5"/>
        <v>-1.4010763610175902E-3</v>
      </c>
      <c r="Q40" s="2">
        <f t="shared" si="4"/>
        <v>40135.981899999999</v>
      </c>
    </row>
    <row r="41" spans="1:18" x14ac:dyDescent="0.2">
      <c r="A41" s="36" t="s">
        <v>51</v>
      </c>
      <c r="B41" s="37" t="s">
        <v>35</v>
      </c>
      <c r="C41" s="38">
        <v>56245.653299999998</v>
      </c>
      <c r="D41" s="38">
        <v>2.0000000000000001E-4</v>
      </c>
      <c r="E41">
        <f t="shared" si="0"/>
        <v>929.99151856586241</v>
      </c>
      <c r="F41">
        <f t="shared" si="1"/>
        <v>930</v>
      </c>
      <c r="G41">
        <f t="shared" si="2"/>
        <v>-1.3422508258372545E-2</v>
      </c>
      <c r="K41">
        <f t="shared" si="3"/>
        <v>-1.3422508258372545E-2</v>
      </c>
      <c r="O41">
        <f t="shared" ca="1" si="5"/>
        <v>-1.2873971949222691E-2</v>
      </c>
      <c r="Q41" s="2">
        <f t="shared" si="4"/>
        <v>41227.153299999998</v>
      </c>
      <c r="R41" t="s">
        <v>57</v>
      </c>
    </row>
    <row r="42" spans="1:18" x14ac:dyDescent="0.2">
      <c r="A42" s="43" t="s">
        <v>54</v>
      </c>
      <c r="B42" s="44"/>
      <c r="C42" s="43">
        <v>56986.2883</v>
      </c>
      <c r="D42" s="43">
        <v>1E-4</v>
      </c>
      <c r="E42">
        <f t="shared" si="0"/>
        <v>1397.9850449108458</v>
      </c>
      <c r="F42">
        <f t="shared" si="1"/>
        <v>1398</v>
      </c>
      <c r="G42">
        <f t="shared" si="2"/>
        <v>-2.3667554851272143E-2</v>
      </c>
      <c r="J42">
        <f>+G42</f>
        <v>-2.3667554851272143E-2</v>
      </c>
      <c r="O42">
        <f t="shared" ca="1" si="5"/>
        <v>-2.066123102867155E-2</v>
      </c>
      <c r="Q42" s="2">
        <f t="shared" si="4"/>
        <v>41967.7883</v>
      </c>
      <c r="R42" t="s">
        <v>59</v>
      </c>
    </row>
    <row r="43" spans="1:18" ht="15" x14ac:dyDescent="0.25">
      <c r="A43" s="58" t="s">
        <v>127</v>
      </c>
      <c r="B43" s="60" t="s">
        <v>35</v>
      </c>
      <c r="C43" s="59">
        <v>59850.7238</v>
      </c>
      <c r="D43" s="59">
        <v>1E-4</v>
      </c>
      <c r="E43">
        <f t="shared" ref="E43" si="6">+(C43-C$7)/C$8</f>
        <v>3207.9687354368834</v>
      </c>
      <c r="F43">
        <f t="shared" ref="F43" si="7">ROUND(2*E43,0)/2</f>
        <v>3208</v>
      </c>
      <c r="G43">
        <f t="shared" ref="G43" si="8">+C43-(C$7+F43*C$8)</f>
        <v>-4.9478525666927453E-2</v>
      </c>
      <c r="K43">
        <f>+G43</f>
        <v>-4.9478525666927453E-2</v>
      </c>
      <c r="O43">
        <f t="shared" ca="1" si="5"/>
        <v>-5.077862191286478E-2</v>
      </c>
      <c r="Q43" s="2">
        <f t="shared" ref="Q43" si="9">+C43-15018.5</f>
        <v>44832.2238</v>
      </c>
    </row>
    <row r="44" spans="1:18" x14ac:dyDescent="0.2">
      <c r="B44" s="3"/>
      <c r="C44" s="8"/>
      <c r="D44" s="8"/>
    </row>
    <row r="45" spans="1:18" x14ac:dyDescent="0.2">
      <c r="B45" s="3"/>
      <c r="C45" s="8"/>
      <c r="D45" s="8"/>
    </row>
    <row r="46" spans="1:18" x14ac:dyDescent="0.2">
      <c r="B46" s="3"/>
      <c r="C46" s="8"/>
      <c r="D46" s="8"/>
    </row>
    <row r="47" spans="1:18" x14ac:dyDescent="0.2">
      <c r="B47" s="3"/>
      <c r="C47" s="8"/>
      <c r="D47" s="8"/>
    </row>
    <row r="48" spans="1:18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C100" s="8"/>
      <c r="D100" s="8"/>
    </row>
    <row r="101" spans="2:4" x14ac:dyDescent="0.2">
      <c r="C101" s="8"/>
      <c r="D101" s="8"/>
    </row>
    <row r="102" spans="2:4" x14ac:dyDescent="0.2">
      <c r="C102" s="8"/>
      <c r="D102" s="8"/>
    </row>
    <row r="103" spans="2:4" x14ac:dyDescent="0.2">
      <c r="C103" s="8"/>
      <c r="D103" s="8"/>
    </row>
    <row r="104" spans="2:4" x14ac:dyDescent="0.2">
      <c r="C104" s="8"/>
      <c r="D104" s="8"/>
    </row>
    <row r="105" spans="2:4" x14ac:dyDescent="0.2">
      <c r="C105" s="8"/>
      <c r="D105" s="8"/>
    </row>
    <row r="106" spans="2:4" x14ac:dyDescent="0.2">
      <c r="C106" s="8"/>
      <c r="D106" s="8"/>
    </row>
    <row r="107" spans="2:4" x14ac:dyDescent="0.2">
      <c r="C107" s="8"/>
      <c r="D107" s="8"/>
    </row>
    <row r="108" spans="2:4" x14ac:dyDescent="0.2">
      <c r="C108" s="8"/>
      <c r="D108" s="8"/>
    </row>
    <row r="109" spans="2:4" x14ac:dyDescent="0.2">
      <c r="C109" s="8"/>
      <c r="D109" s="8"/>
    </row>
    <row r="110" spans="2:4" x14ac:dyDescent="0.2">
      <c r="C110" s="8"/>
      <c r="D110" s="8"/>
    </row>
    <row r="111" spans="2:4" x14ac:dyDescent="0.2">
      <c r="C111" s="8"/>
      <c r="D111" s="8"/>
    </row>
    <row r="112" spans="2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40"/>
  <sheetViews>
    <sheetView workbookViewId="0">
      <selection activeCell="C9" sqref="C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32</v>
      </c>
    </row>
    <row r="2" spans="1:7" x14ac:dyDescent="0.2">
      <c r="A2" t="s">
        <v>25</v>
      </c>
      <c r="B2" t="s">
        <v>33</v>
      </c>
      <c r="C2" s="3"/>
      <c r="D2" s="3"/>
    </row>
    <row r="3" spans="1:7" ht="13.5" thickBot="1" x14ac:dyDescent="0.25"/>
    <row r="4" spans="1:7" ht="14.25" thickTop="1" thickBot="1" x14ac:dyDescent="0.25">
      <c r="A4" s="14" t="s">
        <v>0</v>
      </c>
      <c r="C4" s="12">
        <v>52900.101900000125</v>
      </c>
      <c r="D4" s="13">
        <v>1.5829</v>
      </c>
    </row>
    <row r="5" spans="1:7" ht="13.5" thickTop="1" x14ac:dyDescent="0.2"/>
    <row r="6" spans="1:7" x14ac:dyDescent="0.2">
      <c r="A6" s="5" t="s">
        <v>1</v>
      </c>
    </row>
    <row r="7" spans="1:7" x14ac:dyDescent="0.2">
      <c r="A7" t="s">
        <v>2</v>
      </c>
      <c r="C7">
        <f>+C4</f>
        <v>52900.101900000125</v>
      </c>
    </row>
    <row r="8" spans="1:7" x14ac:dyDescent="0.2">
      <c r="A8" t="s">
        <v>3</v>
      </c>
      <c r="C8">
        <f>+D4</f>
        <v>1.5829</v>
      </c>
    </row>
    <row r="9" spans="1:7" x14ac:dyDescent="0.2">
      <c r="A9" s="15" t="s">
        <v>38</v>
      </c>
      <c r="B9" s="16"/>
      <c r="C9" s="17">
        <v>8</v>
      </c>
      <c r="D9" s="16" t="s">
        <v>39</v>
      </c>
      <c r="E9" s="16"/>
    </row>
    <row r="10" spans="1:7" ht="13.5" thickBot="1" x14ac:dyDescent="0.25">
      <c r="A10" s="16"/>
      <c r="B10" s="16"/>
      <c r="C10" s="4" t="s">
        <v>21</v>
      </c>
      <c r="D10" s="4" t="s">
        <v>22</v>
      </c>
      <c r="E10" s="16"/>
    </row>
    <row r="11" spans="1:7" x14ac:dyDescent="0.2">
      <c r="A11" s="16" t="s">
        <v>16</v>
      </c>
      <c r="B11" s="16"/>
      <c r="C11" s="18">
        <f ca="1">INTERCEPT(INDIRECT($G$11):G992,INDIRECT($F$11):F992)</f>
        <v>6.1731902250782011E-4</v>
      </c>
      <c r="D11" s="3"/>
      <c r="E11" s="16"/>
      <c r="F11" s="19" t="str">
        <f>"F"&amp;E19</f>
        <v>F21</v>
      </c>
      <c r="G11" s="20" t="str">
        <f>"G"&amp;E19</f>
        <v>G21</v>
      </c>
    </row>
    <row r="12" spans="1:7" x14ac:dyDescent="0.2">
      <c r="A12" s="16" t="s">
        <v>17</v>
      </c>
      <c r="B12" s="16"/>
      <c r="C12" s="18">
        <f ca="1">SLOPE(INDIRECT($G$11):G992,INDIRECT($F$11):F992)</f>
        <v>-3.2469007137541056E-4</v>
      </c>
      <c r="D12" s="3"/>
      <c r="E12" s="16"/>
    </row>
    <row r="13" spans="1:7" x14ac:dyDescent="0.2">
      <c r="A13" s="16" t="s">
        <v>20</v>
      </c>
      <c r="B13" s="16"/>
      <c r="C13" s="3" t="s">
        <v>14</v>
      </c>
      <c r="D13" s="3"/>
      <c r="E13" s="16"/>
    </row>
    <row r="14" spans="1:7" x14ac:dyDescent="0.2">
      <c r="A14" s="16"/>
      <c r="B14" s="16"/>
      <c r="C14" s="16"/>
      <c r="D14" s="16"/>
      <c r="E14" s="16"/>
    </row>
    <row r="15" spans="1:7" x14ac:dyDescent="0.2">
      <c r="A15" s="21" t="s">
        <v>18</v>
      </c>
      <c r="B15" s="16"/>
      <c r="C15" s="22">
        <f ca="1">(C7+C11)+(C8+C12)*INT(MAX(F21:F3533))</f>
        <v>54773.871684274636</v>
      </c>
      <c r="D15" s="23" t="s">
        <v>40</v>
      </c>
      <c r="E15" s="24">
        <f ca="1">TODAY()+15018.5-B9/24</f>
        <v>60314.5</v>
      </c>
    </row>
    <row r="16" spans="1:7" x14ac:dyDescent="0.2">
      <c r="A16" s="25" t="s">
        <v>4</v>
      </c>
      <c r="B16" s="16"/>
      <c r="C16" s="26">
        <f ca="1">+C8+C12</f>
        <v>1.5825753099286246</v>
      </c>
      <c r="D16" s="23" t="s">
        <v>41</v>
      </c>
      <c r="E16" s="24">
        <f ca="1">ROUND(2*(E15-C15)/C16,0)/2+1</f>
        <v>3502</v>
      </c>
    </row>
    <row r="17" spans="1:17" ht="13.5" thickBot="1" x14ac:dyDescent="0.25">
      <c r="A17" s="23" t="s">
        <v>31</v>
      </c>
      <c r="B17" s="16"/>
      <c r="C17" s="16">
        <f>COUNT(C21:C2191)</f>
        <v>18</v>
      </c>
      <c r="D17" s="23" t="s">
        <v>42</v>
      </c>
      <c r="E17" s="27">
        <f ca="1">+C15+C16*E16-15018.5-C9/24</f>
        <v>45297.217086311342</v>
      </c>
    </row>
    <row r="18" spans="1:17" ht="14.25" thickTop="1" thickBot="1" x14ac:dyDescent="0.25">
      <c r="A18" s="25" t="s">
        <v>5</v>
      </c>
      <c r="B18" s="16"/>
      <c r="C18" s="28">
        <f ca="1">+C15</f>
        <v>54773.871684274636</v>
      </c>
      <c r="D18" s="29">
        <f ca="1">+C16</f>
        <v>1.5825753099286246</v>
      </c>
      <c r="E18" s="30" t="s">
        <v>43</v>
      </c>
    </row>
    <row r="19" spans="1:17" ht="13.5" thickTop="1" x14ac:dyDescent="0.2">
      <c r="A19" s="31" t="s">
        <v>44</v>
      </c>
      <c r="E19" s="32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s="34" t="s">
        <v>46</v>
      </c>
      <c r="B21" s="35" t="s">
        <v>35</v>
      </c>
      <c r="C21" s="34">
        <v>52898.518539999997</v>
      </c>
      <c r="D21" s="34" t="s">
        <v>47</v>
      </c>
      <c r="E21">
        <f t="shared" ref="E21:E38" si="0">+(C21-C$7)/C$8</f>
        <v>-1.0002906059308032</v>
      </c>
      <c r="F21">
        <f t="shared" ref="F21:F38" si="1">ROUND(2*E21,0)/2</f>
        <v>-1</v>
      </c>
      <c r="G21">
        <f t="shared" ref="G21:G38" si="2">+C21-(C$7+F21*C$8)</f>
        <v>-4.6000012662261724E-4</v>
      </c>
      <c r="N21">
        <f>+G21</f>
        <v>-4.6000012662261724E-4</v>
      </c>
      <c r="O21">
        <f t="shared" ref="O21:O38" ca="1" si="3">+C$11+C$12*$F21</f>
        <v>9.4200909388323067E-4</v>
      </c>
      <c r="Q21" s="2">
        <f t="shared" ref="Q21:Q38" si="4">+C21-15018.5</f>
        <v>37880.018539999997</v>
      </c>
    </row>
    <row r="22" spans="1:17" x14ac:dyDescent="0.2">
      <c r="A22" t="s">
        <v>12</v>
      </c>
      <c r="C22" s="8">
        <v>52900.101900000001</v>
      </c>
      <c r="D22" s="8" t="s">
        <v>14</v>
      </c>
      <c r="E22">
        <f t="shared" si="0"/>
        <v>-7.8142194352844929E-11</v>
      </c>
      <c r="F22">
        <f t="shared" si="1"/>
        <v>0</v>
      </c>
      <c r="G22">
        <f t="shared" si="2"/>
        <v>-1.2369127944111824E-10</v>
      </c>
      <c r="H22">
        <f>+G22</f>
        <v>-1.2369127944111824E-10</v>
      </c>
      <c r="O22">
        <f t="shared" ca="1" si="3"/>
        <v>6.1731902250782011E-4</v>
      </c>
      <c r="Q22" s="2">
        <f t="shared" si="4"/>
        <v>37881.601900000001</v>
      </c>
    </row>
    <row r="23" spans="1:17" x14ac:dyDescent="0.2">
      <c r="A23" t="s">
        <v>37</v>
      </c>
      <c r="B23" s="10" t="s">
        <v>36</v>
      </c>
      <c r="C23" s="11">
        <v>53043.327299999997</v>
      </c>
      <c r="D23" s="11">
        <v>6.9999999999999999E-4</v>
      </c>
      <c r="E23">
        <f t="shared" si="0"/>
        <v>90.482911112434152</v>
      </c>
      <c r="F23">
        <f t="shared" si="1"/>
        <v>90.5</v>
      </c>
      <c r="G23">
        <f t="shared" si="2"/>
        <v>-2.7050000127928797E-2</v>
      </c>
      <c r="I23">
        <f>+G23</f>
        <v>-2.7050000127928797E-2</v>
      </c>
      <c r="O23">
        <f t="shared" ca="1" si="3"/>
        <v>-2.8767132436966835E-2</v>
      </c>
      <c r="Q23" s="2">
        <f t="shared" si="4"/>
        <v>38024.827299999997</v>
      </c>
    </row>
    <row r="24" spans="1:17" x14ac:dyDescent="0.2">
      <c r="A24" s="34" t="s">
        <v>46</v>
      </c>
      <c r="B24" s="35" t="s">
        <v>36</v>
      </c>
      <c r="C24" s="34">
        <v>53217.409319999999</v>
      </c>
      <c r="D24" s="34" t="s">
        <v>48</v>
      </c>
      <c r="E24">
        <f t="shared" si="0"/>
        <v>200.45954892910081</v>
      </c>
      <c r="F24">
        <f t="shared" si="1"/>
        <v>200.5</v>
      </c>
      <c r="G24">
        <f t="shared" si="2"/>
        <v>-6.4030000125057995E-2</v>
      </c>
      <c r="N24">
        <f t="shared" ref="N24:N29" si="5">+G24</f>
        <v>-6.4030000125057995E-2</v>
      </c>
      <c r="O24">
        <f t="shared" ca="1" si="3"/>
        <v>-6.4483040288262003E-2</v>
      </c>
      <c r="Q24" s="2">
        <f t="shared" si="4"/>
        <v>38198.909319999999</v>
      </c>
    </row>
    <row r="25" spans="1:17" x14ac:dyDescent="0.2">
      <c r="A25" s="34" t="s">
        <v>46</v>
      </c>
      <c r="B25" s="35" t="s">
        <v>36</v>
      </c>
      <c r="C25" s="34">
        <v>53217.409319999999</v>
      </c>
      <c r="D25" s="34" t="s">
        <v>47</v>
      </c>
      <c r="E25">
        <f t="shared" si="0"/>
        <v>200.45954892910081</v>
      </c>
      <c r="F25">
        <f t="shared" si="1"/>
        <v>200.5</v>
      </c>
      <c r="G25">
        <f t="shared" si="2"/>
        <v>-6.4030000125057995E-2</v>
      </c>
      <c r="N25">
        <f t="shared" si="5"/>
        <v>-6.4030000125057995E-2</v>
      </c>
      <c r="O25">
        <f t="shared" ca="1" si="3"/>
        <v>-6.4483040288262003E-2</v>
      </c>
      <c r="Q25" s="2">
        <f t="shared" si="4"/>
        <v>38198.909319999999</v>
      </c>
    </row>
    <row r="26" spans="1:17" x14ac:dyDescent="0.2">
      <c r="A26" s="34" t="s">
        <v>46</v>
      </c>
      <c r="B26" s="35" t="s">
        <v>36</v>
      </c>
      <c r="C26" s="34">
        <v>53217.409319999999</v>
      </c>
      <c r="D26" s="34" t="s">
        <v>49</v>
      </c>
      <c r="E26">
        <f t="shared" si="0"/>
        <v>200.45954892910081</v>
      </c>
      <c r="F26">
        <f t="shared" si="1"/>
        <v>200.5</v>
      </c>
      <c r="G26">
        <f t="shared" si="2"/>
        <v>-6.4030000125057995E-2</v>
      </c>
      <c r="N26">
        <f t="shared" si="5"/>
        <v>-6.4030000125057995E-2</v>
      </c>
      <c r="O26">
        <f t="shared" ca="1" si="3"/>
        <v>-6.4483040288262003E-2</v>
      </c>
      <c r="Q26" s="2">
        <f t="shared" si="4"/>
        <v>38198.909319999999</v>
      </c>
    </row>
    <row r="27" spans="1:17" x14ac:dyDescent="0.2">
      <c r="A27" s="34" t="s">
        <v>46</v>
      </c>
      <c r="B27" s="35" t="s">
        <v>35</v>
      </c>
      <c r="C27" s="34">
        <v>53224.530709999999</v>
      </c>
      <c r="D27" s="34" t="s">
        <v>48</v>
      </c>
      <c r="E27">
        <f t="shared" si="0"/>
        <v>204.95850022103349</v>
      </c>
      <c r="F27">
        <f t="shared" si="1"/>
        <v>205</v>
      </c>
      <c r="G27">
        <f t="shared" si="2"/>
        <v>-6.5690000126778614E-2</v>
      </c>
      <c r="N27">
        <f t="shared" si="5"/>
        <v>-6.5690000126778614E-2</v>
      </c>
      <c r="O27">
        <f t="shared" ca="1" si="3"/>
        <v>-6.5944145609451346E-2</v>
      </c>
      <c r="Q27" s="2">
        <f t="shared" si="4"/>
        <v>38206.030709999999</v>
      </c>
    </row>
    <row r="28" spans="1:17" x14ac:dyDescent="0.2">
      <c r="A28" s="34" t="s">
        <v>46</v>
      </c>
      <c r="B28" s="35" t="s">
        <v>35</v>
      </c>
      <c r="C28" s="34">
        <v>53224.530709999999</v>
      </c>
      <c r="D28" s="34" t="s">
        <v>47</v>
      </c>
      <c r="E28">
        <f t="shared" si="0"/>
        <v>204.95850022103349</v>
      </c>
      <c r="F28">
        <f t="shared" si="1"/>
        <v>205</v>
      </c>
      <c r="G28">
        <f t="shared" si="2"/>
        <v>-6.5690000126778614E-2</v>
      </c>
      <c r="N28">
        <f t="shared" si="5"/>
        <v>-6.5690000126778614E-2</v>
      </c>
      <c r="O28">
        <f t="shared" ca="1" si="3"/>
        <v>-6.5944145609451346E-2</v>
      </c>
      <c r="Q28" s="2">
        <f t="shared" si="4"/>
        <v>38206.030709999999</v>
      </c>
    </row>
    <row r="29" spans="1:17" x14ac:dyDescent="0.2">
      <c r="A29" s="34" t="s">
        <v>46</v>
      </c>
      <c r="B29" s="35" t="s">
        <v>35</v>
      </c>
      <c r="C29" s="34">
        <v>53224.530709999999</v>
      </c>
      <c r="D29" s="34" t="s">
        <v>49</v>
      </c>
      <c r="E29">
        <f t="shared" si="0"/>
        <v>204.95850022103349</v>
      </c>
      <c r="F29">
        <f t="shared" si="1"/>
        <v>205</v>
      </c>
      <c r="G29">
        <f t="shared" si="2"/>
        <v>-6.5690000126778614E-2</v>
      </c>
      <c r="N29">
        <f t="shared" si="5"/>
        <v>-6.5690000126778614E-2</v>
      </c>
      <c r="O29">
        <f t="shared" ca="1" si="3"/>
        <v>-6.5944145609451346E-2</v>
      </c>
      <c r="Q29" s="2">
        <f t="shared" si="4"/>
        <v>38206.030709999999</v>
      </c>
    </row>
    <row r="30" spans="1:17" x14ac:dyDescent="0.2">
      <c r="A30" s="9" t="s">
        <v>34</v>
      </c>
      <c r="B30" s="10" t="s">
        <v>35</v>
      </c>
      <c r="C30" s="11">
        <v>53254.601600000002</v>
      </c>
      <c r="D30" s="11">
        <v>2.0000000000000001E-4</v>
      </c>
      <c r="E30">
        <f t="shared" si="0"/>
        <v>223.95584054575565</v>
      </c>
      <c r="F30">
        <f t="shared" si="1"/>
        <v>224</v>
      </c>
      <c r="G30">
        <f t="shared" si="2"/>
        <v>-6.9900000125926454E-2</v>
      </c>
      <c r="I30">
        <f>+G30</f>
        <v>-6.9900000125926454E-2</v>
      </c>
      <c r="O30">
        <f t="shared" ca="1" si="3"/>
        <v>-7.2113256965584141E-2</v>
      </c>
      <c r="Q30" s="2">
        <f t="shared" si="4"/>
        <v>38236.101600000002</v>
      </c>
    </row>
    <row r="31" spans="1:17" x14ac:dyDescent="0.2">
      <c r="A31" t="s">
        <v>37</v>
      </c>
      <c r="B31" s="10" t="s">
        <v>36</v>
      </c>
      <c r="C31" s="11">
        <v>53266.470699999998</v>
      </c>
      <c r="D31" s="11">
        <v>4.0000000000000002E-4</v>
      </c>
      <c r="E31">
        <f t="shared" si="0"/>
        <v>231.45416640335642</v>
      </c>
      <c r="F31">
        <f t="shared" si="1"/>
        <v>231.5</v>
      </c>
      <c r="G31">
        <f t="shared" si="2"/>
        <v>-7.255000012810342E-2</v>
      </c>
      <c r="I31">
        <f>+G31</f>
        <v>-7.255000012810342E-2</v>
      </c>
      <c r="O31">
        <f t="shared" ca="1" si="3"/>
        <v>-7.4548432500899722E-2</v>
      </c>
      <c r="Q31" s="2">
        <f t="shared" si="4"/>
        <v>38247.970699999998</v>
      </c>
    </row>
    <row r="32" spans="1:17" x14ac:dyDescent="0.2">
      <c r="A32" s="34" t="s">
        <v>46</v>
      </c>
      <c r="B32" s="35" t="s">
        <v>36</v>
      </c>
      <c r="C32" s="34">
        <v>53285.45738</v>
      </c>
      <c r="D32" s="34" t="s">
        <v>48</v>
      </c>
      <c r="E32">
        <f t="shared" si="0"/>
        <v>243.4490365783528</v>
      </c>
      <c r="F32">
        <f t="shared" si="1"/>
        <v>243.5</v>
      </c>
      <c r="G32">
        <f t="shared" si="2"/>
        <v>-8.067000012670178E-2</v>
      </c>
      <c r="N32">
        <f t="shared" ref="N32:N37" si="6">+G32</f>
        <v>-8.067000012670178E-2</v>
      </c>
      <c r="O32">
        <f t="shared" ca="1" si="3"/>
        <v>-7.8444713357404647E-2</v>
      </c>
      <c r="Q32" s="2">
        <f t="shared" si="4"/>
        <v>38266.95738</v>
      </c>
    </row>
    <row r="33" spans="1:17" x14ac:dyDescent="0.2">
      <c r="A33" s="34" t="s">
        <v>46</v>
      </c>
      <c r="B33" s="35" t="s">
        <v>36</v>
      </c>
      <c r="C33" s="34">
        <v>53331.354670000001</v>
      </c>
      <c r="D33" s="34" t="s">
        <v>48</v>
      </c>
      <c r="E33">
        <f t="shared" si="0"/>
        <v>272.44473434826926</v>
      </c>
      <c r="F33">
        <f t="shared" si="1"/>
        <v>272.5</v>
      </c>
      <c r="G33">
        <f t="shared" si="2"/>
        <v>-8.7480000125651713E-2</v>
      </c>
      <c r="N33">
        <f t="shared" si="6"/>
        <v>-8.7480000125651713E-2</v>
      </c>
      <c r="O33">
        <f t="shared" ca="1" si="3"/>
        <v>-8.786072542729155E-2</v>
      </c>
      <c r="Q33" s="2">
        <f t="shared" si="4"/>
        <v>38312.854670000001</v>
      </c>
    </row>
    <row r="34" spans="1:17" x14ac:dyDescent="0.2">
      <c r="A34" s="34" t="s">
        <v>46</v>
      </c>
      <c r="B34" s="35" t="s">
        <v>36</v>
      </c>
      <c r="C34" s="34">
        <v>53361.422960000004</v>
      </c>
      <c r="D34" s="34" t="s">
        <v>47</v>
      </c>
      <c r="E34">
        <f t="shared" si="0"/>
        <v>291.44043211818712</v>
      </c>
      <c r="F34">
        <f t="shared" si="1"/>
        <v>291.5</v>
      </c>
      <c r="G34">
        <f t="shared" si="2"/>
        <v>-9.4290000124601647E-2</v>
      </c>
      <c r="N34">
        <f t="shared" si="6"/>
        <v>-9.4290000124601647E-2</v>
      </c>
      <c r="O34">
        <f t="shared" ca="1" si="3"/>
        <v>-9.4029836783424359E-2</v>
      </c>
      <c r="Q34" s="2">
        <f t="shared" si="4"/>
        <v>38342.922960000004</v>
      </c>
    </row>
    <row r="35" spans="1:17" x14ac:dyDescent="0.2">
      <c r="A35" s="34" t="s">
        <v>46</v>
      </c>
      <c r="B35" s="35" t="s">
        <v>35</v>
      </c>
      <c r="C35" s="34">
        <v>53381.203249999999</v>
      </c>
      <c r="D35" s="34" t="s">
        <v>48</v>
      </c>
      <c r="E35">
        <f t="shared" si="0"/>
        <v>303.93666687717069</v>
      </c>
      <c r="F35">
        <f t="shared" si="1"/>
        <v>304</v>
      </c>
      <c r="G35">
        <f t="shared" si="2"/>
        <v>-0.10025000012683449</v>
      </c>
      <c r="N35">
        <f t="shared" si="6"/>
        <v>-0.10025000012683449</v>
      </c>
      <c r="O35">
        <f t="shared" ca="1" si="3"/>
        <v>-9.8088462675616994E-2</v>
      </c>
      <c r="Q35" s="2">
        <f t="shared" si="4"/>
        <v>38362.703249999999</v>
      </c>
    </row>
    <row r="36" spans="1:17" x14ac:dyDescent="0.2">
      <c r="A36" s="34" t="s">
        <v>46</v>
      </c>
      <c r="B36" s="35" t="s">
        <v>36</v>
      </c>
      <c r="C36" s="34">
        <v>53388.326959999999</v>
      </c>
      <c r="D36" s="34" t="s">
        <v>48</v>
      </c>
      <c r="E36">
        <f t="shared" si="0"/>
        <v>308.4370838333902</v>
      </c>
      <c r="F36">
        <f t="shared" si="1"/>
        <v>308.5</v>
      </c>
      <c r="G36">
        <f t="shared" si="2"/>
        <v>-9.959000012895558E-2</v>
      </c>
      <c r="N36">
        <f t="shared" si="6"/>
        <v>-9.959000012895558E-2</v>
      </c>
      <c r="O36">
        <f t="shared" ca="1" si="3"/>
        <v>-9.9549567996806337E-2</v>
      </c>
      <c r="Q36" s="2">
        <f t="shared" si="4"/>
        <v>38369.826959999999</v>
      </c>
    </row>
    <row r="37" spans="1:17" x14ac:dyDescent="0.2">
      <c r="A37" s="34" t="s">
        <v>46</v>
      </c>
      <c r="B37" s="35" t="s">
        <v>35</v>
      </c>
      <c r="C37" s="34">
        <v>53411.272389999998</v>
      </c>
      <c r="D37" s="34" t="s">
        <v>48</v>
      </c>
      <c r="E37">
        <f t="shared" si="0"/>
        <v>322.93290163615711</v>
      </c>
      <c r="F37">
        <f t="shared" si="1"/>
        <v>323</v>
      </c>
      <c r="G37">
        <f t="shared" si="2"/>
        <v>-0.10621000012906734</v>
      </c>
      <c r="N37">
        <f t="shared" si="6"/>
        <v>-0.10621000012906734</v>
      </c>
      <c r="O37">
        <f t="shared" ca="1" si="3"/>
        <v>-0.10425757403174979</v>
      </c>
      <c r="Q37" s="2">
        <f t="shared" si="4"/>
        <v>38392.772389999998</v>
      </c>
    </row>
    <row r="38" spans="1:17" x14ac:dyDescent="0.2">
      <c r="A38" s="33" t="s">
        <v>45</v>
      </c>
      <c r="B38" s="3" t="s">
        <v>36</v>
      </c>
      <c r="C38" s="33">
        <v>54774.663200000003</v>
      </c>
      <c r="D38" s="33">
        <v>5.0000000000000001E-4</v>
      </c>
      <c r="E38">
        <f t="shared" si="0"/>
        <v>1184.257565228301</v>
      </c>
      <c r="F38">
        <f t="shared" si="1"/>
        <v>1184.5</v>
      </c>
      <c r="G38">
        <f t="shared" si="2"/>
        <v>-0.38375000012456439</v>
      </c>
      <c r="I38">
        <f>+G38</f>
        <v>-0.38375000012456439</v>
      </c>
      <c r="O38">
        <f t="shared" ca="1" si="3"/>
        <v>-0.38397807052166599</v>
      </c>
      <c r="Q38" s="2">
        <f t="shared" si="4"/>
        <v>39756.163200000003</v>
      </c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9"/>
  <sheetViews>
    <sheetView topLeftCell="A2" workbookViewId="0">
      <selection activeCell="A22" sqref="A22:D22"/>
    </sheetView>
  </sheetViews>
  <sheetFormatPr defaultRowHeight="12.75" x14ac:dyDescent="0.2"/>
  <cols>
    <col min="1" max="1" width="16.28515625" style="8" customWidth="1"/>
    <col min="2" max="2" width="4.42578125" style="16" customWidth="1"/>
    <col min="3" max="3" width="12.7109375" style="8" customWidth="1"/>
    <col min="4" max="4" width="3.5703125" style="16" customWidth="1"/>
    <col min="5" max="5" width="12.42578125" style="16" customWidth="1"/>
    <col min="6" max="6" width="5.42578125" style="16" customWidth="1"/>
    <col min="7" max="7" width="12" style="16" customWidth="1"/>
    <col min="8" max="8" width="7.28515625" style="8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5" t="s">
        <v>55</v>
      </c>
      <c r="I1" s="46" t="s">
        <v>56</v>
      </c>
      <c r="J1" s="47" t="s">
        <v>57</v>
      </c>
    </row>
    <row r="2" spans="1:16" x14ac:dyDescent="0.2">
      <c r="I2" s="48" t="s">
        <v>58</v>
      </c>
      <c r="J2" s="49" t="s">
        <v>59</v>
      </c>
    </row>
    <row r="3" spans="1:16" x14ac:dyDescent="0.2">
      <c r="A3" s="50" t="s">
        <v>60</v>
      </c>
      <c r="I3" s="48" t="s">
        <v>61</v>
      </c>
      <c r="J3" s="49" t="s">
        <v>62</v>
      </c>
    </row>
    <row r="4" spans="1:16" x14ac:dyDescent="0.2">
      <c r="I4" s="48" t="s">
        <v>63</v>
      </c>
      <c r="J4" s="49" t="s">
        <v>62</v>
      </c>
    </row>
    <row r="5" spans="1:16" ht="13.5" thickBot="1" x14ac:dyDescent="0.25">
      <c r="I5" s="51" t="s">
        <v>64</v>
      </c>
      <c r="J5" s="52" t="s">
        <v>65</v>
      </c>
    </row>
    <row r="10" spans="1:16" ht="13.5" thickBot="1" x14ac:dyDescent="0.25"/>
    <row r="11" spans="1:16" ht="12.75" customHeight="1" thickBot="1" x14ac:dyDescent="0.25">
      <c r="A11" s="8" t="str">
        <f t="shared" ref="A11:A24" si="0">P11</f>
        <v>OEJV 074 </v>
      </c>
      <c r="B11" s="3" t="str">
        <f t="shared" ref="B11:B24" si="1">IF(H11=INT(H11),"I","II")</f>
        <v>I</v>
      </c>
      <c r="C11" s="8">
        <f t="shared" ref="C11:C24" si="2">1*G11</f>
        <v>52898.518539999997</v>
      </c>
      <c r="D11" s="16" t="str">
        <f t="shared" ref="D11:D24" si="3">VLOOKUP(F11,I$1:J$5,2,FALSE)</f>
        <v>vis</v>
      </c>
      <c r="E11" s="53">
        <f>VLOOKUP(C11,Active!C$21:E$973,3,FALSE)</f>
        <v>-1185.0008859036343</v>
      </c>
      <c r="F11" s="3" t="s">
        <v>64</v>
      </c>
      <c r="G11" s="16" t="str">
        <f t="shared" ref="G11:G24" si="4">MID(I11,3,LEN(I11)-3)</f>
        <v>52898.51854</v>
      </c>
      <c r="H11" s="8">
        <f t="shared" ref="H11:H24" si="5">1*K11</f>
        <v>-1</v>
      </c>
      <c r="I11" s="54" t="s">
        <v>66</v>
      </c>
      <c r="J11" s="55" t="s">
        <v>67</v>
      </c>
      <c r="K11" s="54">
        <v>-1</v>
      </c>
      <c r="L11" s="54" t="s">
        <v>68</v>
      </c>
      <c r="M11" s="55" t="s">
        <v>69</v>
      </c>
      <c r="N11" s="55" t="s">
        <v>70</v>
      </c>
      <c r="O11" s="56" t="s">
        <v>71</v>
      </c>
      <c r="P11" s="57" t="s">
        <v>72</v>
      </c>
    </row>
    <row r="12" spans="1:16" ht="12.75" customHeight="1" thickBot="1" x14ac:dyDescent="0.25">
      <c r="A12" s="8" t="str">
        <f t="shared" si="0"/>
        <v>OEJV 074 </v>
      </c>
      <c r="B12" s="3" t="str">
        <f t="shared" si="1"/>
        <v>II</v>
      </c>
      <c r="C12" s="8">
        <f t="shared" si="2"/>
        <v>53217.409319999999</v>
      </c>
      <c r="D12" s="16" t="str">
        <f t="shared" si="3"/>
        <v>vis</v>
      </c>
      <c r="E12" s="53">
        <f>VLOOKUP(C12,Active!C$21:E$973,3,FALSE)</f>
        <v>-983.49971373231836</v>
      </c>
      <c r="F12" s="3" t="s">
        <v>64</v>
      </c>
      <c r="G12" s="16" t="str">
        <f t="shared" si="4"/>
        <v>53217.40932</v>
      </c>
      <c r="H12" s="8">
        <f t="shared" si="5"/>
        <v>200.5</v>
      </c>
      <c r="I12" s="54" t="s">
        <v>73</v>
      </c>
      <c r="J12" s="55" t="s">
        <v>74</v>
      </c>
      <c r="K12" s="54">
        <v>200.5</v>
      </c>
      <c r="L12" s="54" t="s">
        <v>75</v>
      </c>
      <c r="M12" s="55" t="s">
        <v>69</v>
      </c>
      <c r="N12" s="55" t="s">
        <v>76</v>
      </c>
      <c r="O12" s="56" t="s">
        <v>77</v>
      </c>
      <c r="P12" s="57" t="s">
        <v>72</v>
      </c>
    </row>
    <row r="13" spans="1:16" ht="12.75" customHeight="1" thickBot="1" x14ac:dyDescent="0.25">
      <c r="A13" s="8" t="str">
        <f t="shared" si="0"/>
        <v>OEJV 074 </v>
      </c>
      <c r="B13" s="3" t="str">
        <f t="shared" si="1"/>
        <v>I</v>
      </c>
      <c r="C13" s="8">
        <f t="shared" si="2"/>
        <v>53224.530709999999</v>
      </c>
      <c r="D13" s="16" t="str">
        <f t="shared" si="3"/>
        <v>vis</v>
      </c>
      <c r="E13" s="53">
        <f>VLOOKUP(C13,Active!C$21:E$973,3,FALSE)</f>
        <v>-978.99983941017865</v>
      </c>
      <c r="F13" s="3" t="s">
        <v>64</v>
      </c>
      <c r="G13" s="16" t="str">
        <f t="shared" si="4"/>
        <v>53224.53071</v>
      </c>
      <c r="H13" s="8">
        <f t="shared" si="5"/>
        <v>205</v>
      </c>
      <c r="I13" s="54" t="s">
        <v>78</v>
      </c>
      <c r="J13" s="55" t="s">
        <v>79</v>
      </c>
      <c r="K13" s="54">
        <v>205</v>
      </c>
      <c r="L13" s="54" t="s">
        <v>80</v>
      </c>
      <c r="M13" s="55" t="s">
        <v>69</v>
      </c>
      <c r="N13" s="55" t="s">
        <v>76</v>
      </c>
      <c r="O13" s="56" t="s">
        <v>81</v>
      </c>
      <c r="P13" s="57" t="s">
        <v>72</v>
      </c>
    </row>
    <row r="14" spans="1:16" ht="12.75" customHeight="1" thickBot="1" x14ac:dyDescent="0.25">
      <c r="A14" s="8" t="str">
        <f t="shared" si="0"/>
        <v>IBVS 5741 </v>
      </c>
      <c r="B14" s="3" t="str">
        <f t="shared" si="1"/>
        <v>I</v>
      </c>
      <c r="C14" s="8">
        <f t="shared" si="2"/>
        <v>53254.601600000002</v>
      </c>
      <c r="D14" s="16" t="str">
        <f t="shared" si="3"/>
        <v>vis</v>
      </c>
      <c r="E14" s="53">
        <f>VLOOKUP(C14,Active!C$21:E$973,3,FALSE)</f>
        <v>-959.99860148402968</v>
      </c>
      <c r="F14" s="3" t="s">
        <v>64</v>
      </c>
      <c r="G14" s="16" t="str">
        <f t="shared" si="4"/>
        <v>53254.6016</v>
      </c>
      <c r="H14" s="8">
        <f t="shared" si="5"/>
        <v>224</v>
      </c>
      <c r="I14" s="54" t="s">
        <v>82</v>
      </c>
      <c r="J14" s="55" t="s">
        <v>83</v>
      </c>
      <c r="K14" s="54">
        <v>224</v>
      </c>
      <c r="L14" s="54" t="s">
        <v>84</v>
      </c>
      <c r="M14" s="55" t="s">
        <v>69</v>
      </c>
      <c r="N14" s="55" t="s">
        <v>76</v>
      </c>
      <c r="O14" s="56" t="s">
        <v>85</v>
      </c>
      <c r="P14" s="57" t="s">
        <v>86</v>
      </c>
    </row>
    <row r="15" spans="1:16" ht="12.75" customHeight="1" thickBot="1" x14ac:dyDescent="0.25">
      <c r="A15" s="8" t="str">
        <f t="shared" si="0"/>
        <v>OEJV 074 </v>
      </c>
      <c r="B15" s="3" t="str">
        <f t="shared" si="1"/>
        <v>II</v>
      </c>
      <c r="C15" s="8">
        <f t="shared" si="2"/>
        <v>53285.45738</v>
      </c>
      <c r="D15" s="16" t="str">
        <f t="shared" si="3"/>
        <v>vis</v>
      </c>
      <c r="E15" s="53">
        <f>VLOOKUP(C15,Active!C$21:E$973,3,FALSE)</f>
        <v>-940.5014061174536</v>
      </c>
      <c r="F15" s="3" t="s">
        <v>64</v>
      </c>
      <c r="G15" s="16" t="str">
        <f t="shared" si="4"/>
        <v>53285.45738</v>
      </c>
      <c r="H15" s="8">
        <f t="shared" si="5"/>
        <v>243.5</v>
      </c>
      <c r="I15" s="54" t="s">
        <v>87</v>
      </c>
      <c r="J15" s="55" t="s">
        <v>88</v>
      </c>
      <c r="K15" s="54">
        <v>243.5</v>
      </c>
      <c r="L15" s="54" t="s">
        <v>89</v>
      </c>
      <c r="M15" s="55" t="s">
        <v>69</v>
      </c>
      <c r="N15" s="55" t="s">
        <v>35</v>
      </c>
      <c r="O15" s="56" t="s">
        <v>71</v>
      </c>
      <c r="P15" s="57" t="s">
        <v>72</v>
      </c>
    </row>
    <row r="16" spans="1:16" ht="12.75" customHeight="1" thickBot="1" x14ac:dyDescent="0.25">
      <c r="A16" s="8" t="str">
        <f t="shared" si="0"/>
        <v>OEJV 074 </v>
      </c>
      <c r="B16" s="3" t="str">
        <f t="shared" si="1"/>
        <v>II</v>
      </c>
      <c r="C16" s="8">
        <f t="shared" si="2"/>
        <v>53331.354670000001</v>
      </c>
      <c r="D16" s="16" t="str">
        <f t="shared" si="3"/>
        <v>vis</v>
      </c>
      <c r="E16" s="53">
        <f>VLOOKUP(C16,Active!C$21:E$973,3,FALSE)</f>
        <v>-911.49975942673734</v>
      </c>
      <c r="F16" s="3" t="s">
        <v>64</v>
      </c>
      <c r="G16" s="16" t="str">
        <f t="shared" si="4"/>
        <v>53331.35467</v>
      </c>
      <c r="H16" s="8">
        <f t="shared" si="5"/>
        <v>272.5</v>
      </c>
      <c r="I16" s="54" t="s">
        <v>90</v>
      </c>
      <c r="J16" s="55" t="s">
        <v>91</v>
      </c>
      <c r="K16" s="54">
        <v>272.5</v>
      </c>
      <c r="L16" s="54" t="s">
        <v>92</v>
      </c>
      <c r="M16" s="55" t="s">
        <v>69</v>
      </c>
      <c r="N16" s="55" t="s">
        <v>35</v>
      </c>
      <c r="O16" s="56" t="s">
        <v>71</v>
      </c>
      <c r="P16" s="57" t="s">
        <v>72</v>
      </c>
    </row>
    <row r="17" spans="1:16" ht="12.75" customHeight="1" thickBot="1" x14ac:dyDescent="0.25">
      <c r="A17" s="8" t="str">
        <f t="shared" si="0"/>
        <v>OEJV 074 </v>
      </c>
      <c r="B17" s="3" t="str">
        <f t="shared" si="1"/>
        <v>II</v>
      </c>
      <c r="C17" s="8">
        <f t="shared" si="2"/>
        <v>53361.422960000004</v>
      </c>
      <c r="D17" s="16" t="str">
        <f t="shared" si="3"/>
        <v>vis</v>
      </c>
      <c r="E17" s="53">
        <f>VLOOKUP(C17,Active!C$21:E$973,3,FALSE)</f>
        <v>-892.50016439238857</v>
      </c>
      <c r="F17" s="3" t="s">
        <v>64</v>
      </c>
      <c r="G17" s="16" t="str">
        <f t="shared" si="4"/>
        <v>53361.42296</v>
      </c>
      <c r="H17" s="8">
        <f t="shared" si="5"/>
        <v>291.5</v>
      </c>
      <c r="I17" s="54" t="s">
        <v>93</v>
      </c>
      <c r="J17" s="55" t="s">
        <v>94</v>
      </c>
      <c r="K17" s="54">
        <v>291.5</v>
      </c>
      <c r="L17" s="54" t="s">
        <v>95</v>
      </c>
      <c r="M17" s="55" t="s">
        <v>69</v>
      </c>
      <c r="N17" s="55" t="s">
        <v>70</v>
      </c>
      <c r="O17" s="56" t="s">
        <v>71</v>
      </c>
      <c r="P17" s="57" t="s">
        <v>72</v>
      </c>
    </row>
    <row r="18" spans="1:16" ht="12.75" customHeight="1" thickBot="1" x14ac:dyDescent="0.25">
      <c r="A18" s="8" t="str">
        <f t="shared" si="0"/>
        <v>OEJV 074 </v>
      </c>
      <c r="B18" s="3" t="str">
        <f t="shared" si="1"/>
        <v>I</v>
      </c>
      <c r="C18" s="8">
        <f t="shared" si="2"/>
        <v>53381.203249999999</v>
      </c>
      <c r="D18" s="16" t="str">
        <f t="shared" si="3"/>
        <v>vis</v>
      </c>
      <c r="E18" s="53">
        <f>VLOOKUP(C18,Active!C$21:E$973,3,FALSE)</f>
        <v>-880.00136583544202</v>
      </c>
      <c r="F18" s="3" t="s">
        <v>64</v>
      </c>
      <c r="G18" s="16" t="str">
        <f t="shared" si="4"/>
        <v>53381.20325</v>
      </c>
      <c r="H18" s="8">
        <f t="shared" si="5"/>
        <v>304</v>
      </c>
      <c r="I18" s="54" t="s">
        <v>96</v>
      </c>
      <c r="J18" s="55" t="s">
        <v>97</v>
      </c>
      <c r="K18" s="54">
        <v>304</v>
      </c>
      <c r="L18" s="54" t="s">
        <v>98</v>
      </c>
      <c r="M18" s="55" t="s">
        <v>69</v>
      </c>
      <c r="N18" s="55" t="s">
        <v>35</v>
      </c>
      <c r="O18" s="56" t="s">
        <v>71</v>
      </c>
      <c r="P18" s="57" t="s">
        <v>72</v>
      </c>
    </row>
    <row r="19" spans="1:16" ht="12.75" customHeight="1" thickBot="1" x14ac:dyDescent="0.25">
      <c r="A19" s="8" t="str">
        <f t="shared" si="0"/>
        <v>OEJV 074 </v>
      </c>
      <c r="B19" s="3" t="str">
        <f t="shared" si="1"/>
        <v>II</v>
      </c>
      <c r="C19" s="8">
        <f t="shared" si="2"/>
        <v>53388.326959999999</v>
      </c>
      <c r="D19" s="16" t="str">
        <f t="shared" si="3"/>
        <v>vis</v>
      </c>
      <c r="E19" s="53">
        <f>VLOOKUP(C19,Active!C$21:E$973,3,FALSE)</f>
        <v>-875.50002554831144</v>
      </c>
      <c r="F19" s="3" t="s">
        <v>64</v>
      </c>
      <c r="G19" s="16" t="str">
        <f t="shared" si="4"/>
        <v>53388.32696</v>
      </c>
      <c r="H19" s="8">
        <f t="shared" si="5"/>
        <v>308.5</v>
      </c>
      <c r="I19" s="54" t="s">
        <v>99</v>
      </c>
      <c r="J19" s="55" t="s">
        <v>100</v>
      </c>
      <c r="K19" s="54">
        <v>308.5</v>
      </c>
      <c r="L19" s="54" t="s">
        <v>101</v>
      </c>
      <c r="M19" s="55" t="s">
        <v>69</v>
      </c>
      <c r="N19" s="55" t="s">
        <v>35</v>
      </c>
      <c r="O19" s="56" t="s">
        <v>71</v>
      </c>
      <c r="P19" s="57" t="s">
        <v>72</v>
      </c>
    </row>
    <row r="20" spans="1:16" ht="12.75" customHeight="1" thickBot="1" x14ac:dyDescent="0.25">
      <c r="A20" s="8" t="str">
        <f t="shared" si="0"/>
        <v>OEJV 074 </v>
      </c>
      <c r="B20" s="3" t="str">
        <f t="shared" si="1"/>
        <v>I</v>
      </c>
      <c r="C20" s="8">
        <f t="shared" si="2"/>
        <v>53411.272389999998</v>
      </c>
      <c r="D20" s="16" t="str">
        <f t="shared" si="3"/>
        <v>vis</v>
      </c>
      <c r="E20" s="53">
        <f>VLOOKUP(C20,Active!C$21:E$973,3,FALSE)</f>
        <v>-861.00123370185281</v>
      </c>
      <c r="F20" s="3" t="s">
        <v>64</v>
      </c>
      <c r="G20" s="16" t="str">
        <f t="shared" si="4"/>
        <v>53411.27239</v>
      </c>
      <c r="H20" s="8">
        <f t="shared" si="5"/>
        <v>323</v>
      </c>
      <c r="I20" s="54" t="s">
        <v>102</v>
      </c>
      <c r="J20" s="55" t="s">
        <v>103</v>
      </c>
      <c r="K20" s="54">
        <v>323</v>
      </c>
      <c r="L20" s="54" t="s">
        <v>104</v>
      </c>
      <c r="M20" s="55" t="s">
        <v>69</v>
      </c>
      <c r="N20" s="55" t="s">
        <v>35</v>
      </c>
      <c r="O20" s="56" t="s">
        <v>71</v>
      </c>
      <c r="P20" s="57" t="s">
        <v>72</v>
      </c>
    </row>
    <row r="21" spans="1:16" ht="12.75" customHeight="1" thickBot="1" x14ac:dyDescent="0.25">
      <c r="A21" s="8" t="str">
        <f t="shared" si="0"/>
        <v>IBVS 5871 </v>
      </c>
      <c r="B21" s="3" t="str">
        <f t="shared" si="1"/>
        <v>II</v>
      </c>
      <c r="C21" s="8">
        <f t="shared" si="2"/>
        <v>54774.663200000003</v>
      </c>
      <c r="D21" s="16" t="str">
        <f t="shared" si="3"/>
        <v>vis</v>
      </c>
      <c r="E21" s="53">
        <f>VLOOKUP(C21,Active!C$21:E$973,3,FALSE)</f>
        <v>0.50014411345907961</v>
      </c>
      <c r="F21" s="3" t="s">
        <v>64</v>
      </c>
      <c r="G21" s="16" t="str">
        <f t="shared" si="4"/>
        <v>54774.6632</v>
      </c>
      <c r="H21" s="8">
        <f t="shared" si="5"/>
        <v>1184.5</v>
      </c>
      <c r="I21" s="54" t="s">
        <v>105</v>
      </c>
      <c r="J21" s="55" t="s">
        <v>106</v>
      </c>
      <c r="K21" s="54">
        <v>1184.5</v>
      </c>
      <c r="L21" s="54" t="s">
        <v>107</v>
      </c>
      <c r="M21" s="55" t="s">
        <v>69</v>
      </c>
      <c r="N21" s="55" t="s">
        <v>64</v>
      </c>
      <c r="O21" s="56" t="s">
        <v>108</v>
      </c>
      <c r="P21" s="57" t="s">
        <v>109</v>
      </c>
    </row>
    <row r="22" spans="1:16" ht="12.75" customHeight="1" thickBot="1" x14ac:dyDescent="0.25">
      <c r="A22" s="8" t="str">
        <f t="shared" si="0"/>
        <v>BAVM 212 </v>
      </c>
      <c r="B22" s="3" t="str">
        <f t="shared" si="1"/>
        <v>II</v>
      </c>
      <c r="C22" s="8">
        <f t="shared" si="2"/>
        <v>55154.481899999999</v>
      </c>
      <c r="D22" s="16" t="str">
        <f t="shared" si="3"/>
        <v>vis</v>
      </c>
      <c r="E22" s="53">
        <f>VLOOKUP(C22,Active!C$21:E$973,3,FALSE)</f>
        <v>240.50053942932325</v>
      </c>
      <c r="F22" s="3" t="s">
        <v>64</v>
      </c>
      <c r="G22" s="16" t="str">
        <f t="shared" si="4"/>
        <v>55154.4819</v>
      </c>
      <c r="H22" s="8">
        <f t="shared" si="5"/>
        <v>1424.5</v>
      </c>
      <c r="I22" s="54" t="s">
        <v>110</v>
      </c>
      <c r="J22" s="55" t="s">
        <v>111</v>
      </c>
      <c r="K22" s="54">
        <v>1424.5</v>
      </c>
      <c r="L22" s="54" t="s">
        <v>112</v>
      </c>
      <c r="M22" s="55" t="s">
        <v>69</v>
      </c>
      <c r="N22" s="55" t="s">
        <v>113</v>
      </c>
      <c r="O22" s="56" t="s">
        <v>114</v>
      </c>
      <c r="P22" s="57" t="s">
        <v>115</v>
      </c>
    </row>
    <row r="23" spans="1:16" ht="12.75" customHeight="1" thickBot="1" x14ac:dyDescent="0.25">
      <c r="A23" s="8" t="str">
        <f t="shared" si="0"/>
        <v>IBVS 6042 </v>
      </c>
      <c r="B23" s="3" t="str">
        <f t="shared" si="1"/>
        <v>I</v>
      </c>
      <c r="C23" s="8">
        <f t="shared" si="2"/>
        <v>56245.653299999998</v>
      </c>
      <c r="D23" s="16" t="str">
        <f t="shared" si="3"/>
        <v>vis</v>
      </c>
      <c r="E23" s="53">
        <f>VLOOKUP(C23,Active!C$21:E$973,3,FALSE)</f>
        <v>929.99151856586241</v>
      </c>
      <c r="F23" s="3" t="s">
        <v>64</v>
      </c>
      <c r="G23" s="16" t="str">
        <f t="shared" si="4"/>
        <v>56245.6533</v>
      </c>
      <c r="H23" s="8">
        <f t="shared" si="5"/>
        <v>2114</v>
      </c>
      <c r="I23" s="54" t="s">
        <v>116</v>
      </c>
      <c r="J23" s="55" t="s">
        <v>117</v>
      </c>
      <c r="K23" s="54">
        <v>2114</v>
      </c>
      <c r="L23" s="54" t="s">
        <v>118</v>
      </c>
      <c r="M23" s="55" t="s">
        <v>69</v>
      </c>
      <c r="N23" s="55" t="s">
        <v>64</v>
      </c>
      <c r="O23" s="56" t="s">
        <v>108</v>
      </c>
      <c r="P23" s="57" t="s">
        <v>119</v>
      </c>
    </row>
    <row r="24" spans="1:16" ht="12.75" customHeight="1" thickBot="1" x14ac:dyDescent="0.25">
      <c r="A24" s="8" t="str">
        <f t="shared" si="0"/>
        <v>BAVM 239 </v>
      </c>
      <c r="B24" s="3" t="str">
        <f t="shared" si="1"/>
        <v>I</v>
      </c>
      <c r="C24" s="8">
        <f t="shared" si="2"/>
        <v>56986.2883</v>
      </c>
      <c r="D24" s="16" t="str">
        <f t="shared" si="3"/>
        <v>vis</v>
      </c>
      <c r="E24" s="53">
        <f>VLOOKUP(C24,Active!C$21:E$973,3,FALSE)</f>
        <v>1397.9850449108458</v>
      </c>
      <c r="F24" s="3" t="s">
        <v>64</v>
      </c>
      <c r="G24" s="16" t="str">
        <f t="shared" si="4"/>
        <v>56986.2883</v>
      </c>
      <c r="H24" s="8">
        <f t="shared" si="5"/>
        <v>2582</v>
      </c>
      <c r="I24" s="54" t="s">
        <v>120</v>
      </c>
      <c r="J24" s="55" t="s">
        <v>121</v>
      </c>
      <c r="K24" s="54">
        <v>2582</v>
      </c>
      <c r="L24" s="54" t="s">
        <v>122</v>
      </c>
      <c r="M24" s="55" t="s">
        <v>69</v>
      </c>
      <c r="N24" s="55" t="s">
        <v>123</v>
      </c>
      <c r="O24" s="56" t="s">
        <v>124</v>
      </c>
      <c r="P24" s="57" t="s">
        <v>125</v>
      </c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</sheetData>
  <phoneticPr fontId="7" type="noConversion"/>
  <hyperlinks>
    <hyperlink ref="A3" r:id="rId1" xr:uid="{00000000-0004-0000-0200-000000000000}"/>
    <hyperlink ref="P11" r:id="rId2" display="http://var.astro.cz/oejv/issues/oejv074.pdf" xr:uid="{00000000-0004-0000-0200-000001000000}"/>
    <hyperlink ref="P12" r:id="rId3" display="http://var.astro.cz/oejv/issues/oejv074.pdf" xr:uid="{00000000-0004-0000-0200-000002000000}"/>
    <hyperlink ref="P13" r:id="rId4" display="http://var.astro.cz/oejv/issues/oejv074.pdf" xr:uid="{00000000-0004-0000-0200-000003000000}"/>
    <hyperlink ref="P14" r:id="rId5" display="http://www.konkoly.hu/cgi-bin/IBVS?5741" xr:uid="{00000000-0004-0000-0200-000004000000}"/>
    <hyperlink ref="P15" r:id="rId6" display="http://var.astro.cz/oejv/issues/oejv074.pdf" xr:uid="{00000000-0004-0000-0200-000005000000}"/>
    <hyperlink ref="P16" r:id="rId7" display="http://var.astro.cz/oejv/issues/oejv074.pdf" xr:uid="{00000000-0004-0000-0200-000006000000}"/>
    <hyperlink ref="P17" r:id="rId8" display="http://var.astro.cz/oejv/issues/oejv074.pdf" xr:uid="{00000000-0004-0000-0200-000007000000}"/>
    <hyperlink ref="P18" r:id="rId9" display="http://var.astro.cz/oejv/issues/oejv074.pdf" xr:uid="{00000000-0004-0000-0200-000008000000}"/>
    <hyperlink ref="P19" r:id="rId10" display="http://var.astro.cz/oejv/issues/oejv074.pdf" xr:uid="{00000000-0004-0000-0200-000009000000}"/>
    <hyperlink ref="P20" r:id="rId11" display="http://var.astro.cz/oejv/issues/oejv074.pdf" xr:uid="{00000000-0004-0000-0200-00000A000000}"/>
    <hyperlink ref="P21" r:id="rId12" display="http://www.konkoly.hu/cgi-bin/IBVS?5871" xr:uid="{00000000-0004-0000-0200-00000B000000}"/>
    <hyperlink ref="P22" r:id="rId13" display="http://www.bav-astro.de/sfs/BAVM_link.php?BAVMnr=212" xr:uid="{00000000-0004-0000-0200-00000C000000}"/>
    <hyperlink ref="P23" r:id="rId14" display="http://www.konkoly.hu/cgi-bin/IBVS?6042" xr:uid="{00000000-0004-0000-0200-00000D000000}"/>
    <hyperlink ref="P24" r:id="rId15" display="http://www.bav-astro.de/sfs/BAVM_link.php?BAVMnr=239" xr:uid="{00000000-0004-0000-02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2024-01-05T01:21:26Z</dcterms:modified>
</cp:coreProperties>
</file>