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174E7FB-A137-4255-BC25-602349F6C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38" i="1" l="1"/>
  <c r="D9" i="1"/>
  <c r="C9" i="1"/>
  <c r="Q37" i="1"/>
  <c r="Q32" i="1"/>
  <c r="Q33" i="1"/>
  <c r="Q34" i="1"/>
  <c r="H25" i="2"/>
  <c r="B25" i="2"/>
  <c r="G25" i="2"/>
  <c r="C25" i="2"/>
  <c r="D25" i="2"/>
  <c r="A25" i="2"/>
  <c r="H24" i="2"/>
  <c r="G24" i="2"/>
  <c r="D24" i="2"/>
  <c r="C24" i="2"/>
  <c r="B24" i="2"/>
  <c r="A24" i="2"/>
  <c r="H23" i="2"/>
  <c r="G23" i="2"/>
  <c r="D23" i="2"/>
  <c r="C23" i="2"/>
  <c r="B23" i="2"/>
  <c r="A23" i="2"/>
  <c r="H22" i="2"/>
  <c r="B22" i="2"/>
  <c r="G22" i="2"/>
  <c r="D22" i="2"/>
  <c r="C22" i="2"/>
  <c r="A22" i="2"/>
  <c r="H21" i="2"/>
  <c r="B21" i="2"/>
  <c r="G21" i="2"/>
  <c r="C21" i="2"/>
  <c r="D21" i="2"/>
  <c r="A21" i="2"/>
  <c r="H20" i="2"/>
  <c r="G20" i="2"/>
  <c r="D20" i="2"/>
  <c r="C20" i="2"/>
  <c r="B20" i="2"/>
  <c r="A20" i="2"/>
  <c r="H19" i="2"/>
  <c r="G19" i="2"/>
  <c r="D19" i="2"/>
  <c r="C19" i="2"/>
  <c r="B19" i="2"/>
  <c r="A19" i="2"/>
  <c r="H18" i="2"/>
  <c r="B18" i="2"/>
  <c r="G18" i="2"/>
  <c r="D18" i="2"/>
  <c r="C18" i="2"/>
  <c r="A18" i="2"/>
  <c r="H17" i="2"/>
  <c r="B17" i="2"/>
  <c r="G17" i="2"/>
  <c r="C17" i="2"/>
  <c r="D17" i="2"/>
  <c r="A17" i="2"/>
  <c r="H16" i="2"/>
  <c r="G16" i="2"/>
  <c r="D16" i="2"/>
  <c r="C16" i="2"/>
  <c r="B16" i="2"/>
  <c r="A16" i="2"/>
  <c r="H15" i="2"/>
  <c r="G15" i="2"/>
  <c r="C15" i="2"/>
  <c r="D15" i="2"/>
  <c r="B15" i="2"/>
  <c r="A15" i="2"/>
  <c r="H14" i="2"/>
  <c r="B14" i="2"/>
  <c r="G14" i="2"/>
  <c r="D14" i="2"/>
  <c r="C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Q26" i="1"/>
  <c r="Q27" i="1"/>
  <c r="Q28" i="1"/>
  <c r="Q29" i="1"/>
  <c r="Q30" i="1"/>
  <c r="Q31" i="1"/>
  <c r="Q36" i="1"/>
  <c r="E38" i="1"/>
  <c r="F38" i="1" s="1"/>
  <c r="G38" i="1" s="1"/>
  <c r="K38" i="1" s="1"/>
  <c r="Q22" i="1"/>
  <c r="Q23" i="1"/>
  <c r="Q24" i="1"/>
  <c r="Q25" i="1"/>
  <c r="Q35" i="1"/>
  <c r="F16" i="1"/>
  <c r="F17" i="1" s="1"/>
  <c r="C17" i="1"/>
  <c r="Q21" i="1"/>
  <c r="E18" i="2"/>
  <c r="E33" i="1"/>
  <c r="F33" i="1"/>
  <c r="G33" i="1" s="1"/>
  <c r="K33" i="1" s="1"/>
  <c r="E25" i="1"/>
  <c r="E14" i="2" s="1"/>
  <c r="F25" i="1"/>
  <c r="G25" i="1" s="1"/>
  <c r="K25" i="1" s="1"/>
  <c r="E21" i="1"/>
  <c r="F21" i="1"/>
  <c r="G21" i="1" s="1"/>
  <c r="I21" i="1" s="1"/>
  <c r="E30" i="1"/>
  <c r="F30" i="1"/>
  <c r="G30" i="1"/>
  <c r="K30" i="1"/>
  <c r="E22" i="1"/>
  <c r="F22" i="1"/>
  <c r="G22" i="1" s="1"/>
  <c r="J22" i="1" s="1"/>
  <c r="E35" i="1"/>
  <c r="F35" i="1" s="1"/>
  <c r="G35" i="1" s="1"/>
  <c r="L35" i="1" s="1"/>
  <c r="E27" i="1"/>
  <c r="E16" i="2" s="1"/>
  <c r="F27" i="1"/>
  <c r="G27" i="1" s="1"/>
  <c r="K27" i="1" s="1"/>
  <c r="E32" i="1"/>
  <c r="F32" i="1"/>
  <c r="G32" i="1" s="1"/>
  <c r="K32" i="1" s="1"/>
  <c r="E24" i="1"/>
  <c r="F24" i="1" s="1"/>
  <c r="G24" i="1" s="1"/>
  <c r="J24" i="1" s="1"/>
  <c r="E29" i="1"/>
  <c r="F29" i="1"/>
  <c r="G29" i="1" s="1"/>
  <c r="K29" i="1" s="1"/>
  <c r="E34" i="1"/>
  <c r="E23" i="2" s="1"/>
  <c r="F34" i="1"/>
  <c r="G34" i="1" s="1"/>
  <c r="K34" i="1" s="1"/>
  <c r="E26" i="1"/>
  <c r="F26" i="1" s="1"/>
  <c r="G26" i="1" s="1"/>
  <c r="K26" i="1" s="1"/>
  <c r="E31" i="1"/>
  <c r="F31" i="1" s="1"/>
  <c r="G31" i="1" s="1"/>
  <c r="K31" i="1" s="1"/>
  <c r="E23" i="1"/>
  <c r="F23" i="1"/>
  <c r="G23" i="1" s="1"/>
  <c r="J23" i="1" s="1"/>
  <c r="E36" i="1"/>
  <c r="F36" i="1"/>
  <c r="G36" i="1" s="1"/>
  <c r="K36" i="1" s="1"/>
  <c r="E28" i="1"/>
  <c r="F28" i="1"/>
  <c r="G28" i="1" s="1"/>
  <c r="K28" i="1" s="1"/>
  <c r="E37" i="1"/>
  <c r="F37" i="1" s="1"/>
  <c r="G37" i="1" s="1"/>
  <c r="K37" i="1" s="1"/>
  <c r="E25" i="2"/>
  <c r="E21" i="2"/>
  <c r="E19" i="2"/>
  <c r="E17" i="2"/>
  <c r="E12" i="2"/>
  <c r="E24" i="2"/>
  <c r="E20" i="2"/>
  <c r="E13" i="2"/>
  <c r="E22" i="2"/>
  <c r="E15" i="2"/>
  <c r="E11" i="2"/>
  <c r="C11" i="1"/>
  <c r="C12" i="1"/>
  <c r="O26" i="1" l="1"/>
  <c r="O27" i="1"/>
  <c r="O25" i="1"/>
  <c r="O28" i="1"/>
  <c r="O32" i="1"/>
  <c r="O33" i="1"/>
  <c r="O30" i="1"/>
  <c r="O31" i="1"/>
  <c r="O24" i="1"/>
  <c r="O36" i="1"/>
  <c r="O23" i="1"/>
  <c r="O21" i="1"/>
  <c r="O29" i="1"/>
  <c r="O22" i="1"/>
  <c r="O37" i="1"/>
  <c r="O38" i="1"/>
  <c r="C15" i="1"/>
  <c r="O35" i="1"/>
  <c r="O3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<sst xmlns="http://schemas.openxmlformats.org/spreadsheetml/2006/main" count="228" uniqueCount="128">
  <si>
    <t>JAVSO..47..105</t>
  </si>
  <si>
    <t>JAVSO..45..121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</si>
  <si>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</si>
  <si>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</si>
  <si>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</si>
  <si>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</si>
  <si>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</si>
  <si>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</si>
  <si>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</si>
  <si>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</si>
  <si>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</si>
  <si>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</si>
  <si>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</si>
  <si>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</si>
  <si>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</si>
  <si>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</si>
  <si>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</si>
  <si>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</si>
  <si>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</si>
  <si>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</si>
  <si>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</si>
  <si>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</si>
  <si>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</si>
  <si>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</si>
  <si>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</si>
  <si>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</si>
  <si>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</si>
  <si>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</si>
  <si>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</si>
  <si>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</si>
  <si>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</si>
  <si>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</si>
  <si>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</si>
  <si>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</si>
  <si>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And</t>
  </si>
  <si>
    <t>EB</t>
  </si>
  <si>
    <t>IBVS 5699 Eph.</t>
  </si>
  <si>
    <t>IBVS 5699</t>
  </si>
  <si>
    <t>V0463 And / GSC 2764-1417 / NSV 14514</t>
  </si>
  <si>
    <t>IBVS 5960</t>
  </si>
  <si>
    <t>I</t>
  </si>
  <si>
    <t>Add cycle</t>
  </si>
  <si>
    <t>Old Cycle</t>
  </si>
  <si>
    <t>Nelson</t>
  </si>
  <si>
    <t>IBVS 5959</t>
  </si>
  <si>
    <t>II</t>
  </si>
  <si>
    <t>IBVS 6011</t>
  </si>
  <si>
    <t>IBVS 6018</t>
  </si>
  <si>
    <t>OEJV 0160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</si>
  <si>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</si>
  <si>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</si>
  <si>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</si>
  <si>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</si>
  <si>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</si>
  <si>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</si>
  <si>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</si>
  <si>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</si>
  <si>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</si>
  <si>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</si>
  <si>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</si>
  <si>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2455124.4122 </t>
  </si>
  <si>
    <t> 19.10.2009 21:53 </t>
  </si>
  <si>
    <t> -0.0731 </t>
  </si>
  <si>
    <t>C </t>
  </si>
  <si>
    <t>-I</t>
  </si>
  <si>
    <t> K.&amp; M.Rätz </t>
  </si>
  <si>
    <t>BAVM 214 </t>
  </si>
  <si>
    <t>2455124.6061 </t>
  </si>
  <si>
    <t> 20.10.2009 02:32 </t>
  </si>
  <si>
    <t>9056.5</t>
  </si>
  <si>
    <t> -0.0823 </t>
  </si>
  <si>
    <t>2455125.4198 </t>
  </si>
  <si>
    <t> 20.10.2009 22:04 </t>
  </si>
  <si>
    <t>9058.5</t>
  </si>
  <si>
    <t> -0.0808 </t>
  </si>
  <si>
    <t>2455503.7086 </t>
  </si>
  <si>
    <t> 03.11.2010 05:00 </t>
  </si>
  <si>
    <t>9990</t>
  </si>
  <si>
    <t> -0.0694 </t>
  </si>
  <si>
    <t> R.Diethelm </t>
  </si>
  <si>
    <t>IBVS 5960 </t>
  </si>
  <si>
    <t>2455803.41914 </t>
  </si>
  <si>
    <t> 29.08.2011 22:03 </t>
  </si>
  <si>
    <t>10728</t>
  </si>
  <si>
    <t> -0.05702 </t>
  </si>
  <si>
    <t>R</t>
  </si>
  <si>
    <t> P.Marek </t>
  </si>
  <si>
    <t>OEJV 0160 </t>
  </si>
  <si>
    <t>2455803.41922 </t>
  </si>
  <si>
    <t> -0.05694 </t>
  </si>
  <si>
    <t>2455803.41984 </t>
  </si>
  <si>
    <t> 29.08.2011 22:04 </t>
  </si>
  <si>
    <t> -0.05632 </t>
  </si>
  <si>
    <t>2455803.41994 </t>
  </si>
  <si>
    <t> -0.05622 </t>
  </si>
  <si>
    <t>2455805.44953 </t>
  </si>
  <si>
    <t> 31.08.2011 22:47 </t>
  </si>
  <si>
    <t>10733</t>
  </si>
  <si>
    <t> -0.05710 </t>
  </si>
  <si>
    <t>2455805.44963 </t>
  </si>
  <si>
    <t> -0.05700 </t>
  </si>
  <si>
    <t>2455830.6260 </t>
  </si>
  <si>
    <t> 26.09.2011 03:01 </t>
  </si>
  <si>
    <t>10795</t>
  </si>
  <si>
    <t> -0.0585 </t>
  </si>
  <si>
    <t>-U;-I</t>
  </si>
  <si>
    <t> M. &amp; K.Rätz </t>
  </si>
  <si>
    <t>BAVM 225 </t>
  </si>
  <si>
    <t>2455832.4509 </t>
  </si>
  <si>
    <t> 27.09.2011 22:49 </t>
  </si>
  <si>
    <t>10799.5</t>
  </si>
  <si>
    <t> -0.0611 </t>
  </si>
  <si>
    <t>2455832.6554 </t>
  </si>
  <si>
    <t> 28.09.2011 03:43 </t>
  </si>
  <si>
    <t>10800</t>
  </si>
  <si>
    <t> -0.0596 </t>
  </si>
  <si>
    <t>2455847.6803 </t>
  </si>
  <si>
    <t> 13.10.2011 04:19 </t>
  </si>
  <si>
    <t>10837</t>
  </si>
  <si>
    <t> -0.0602 </t>
  </si>
  <si>
    <t> R.Nelson </t>
  </si>
  <si>
    <t>IBVS 6018 </t>
  </si>
  <si>
    <t>2455875.7023 </t>
  </si>
  <si>
    <t> 10.11.2011 04:51 </t>
  </si>
  <si>
    <t>10906</t>
  </si>
  <si>
    <t> -0.0588 </t>
  </si>
  <si>
    <t>IBVS 6011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</si>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</sst>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>
      <alignment vertical="top"/>
    </xf>
    <xf numFmtId="0" fontId="0" fillId="0" borderId="5" xfId="0" applyBorder="1" applyAlignment="1"/>
    <xf numFmtId="0" fontId="15" fillId="24" borderId="5" xfId="0" applyFont="1" applyFill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9" fillId="0" borderId="8" xfId="0" applyFont="1" applyBorder="1" applyAlignment="1">
      <alignment horizontal="center"/>
    </xf>
    <xf numFmtId="0" fontId="5" fillId="0" borderId="18" xfId="0" applyFont="1" applyBorder="1" applyAlignment="1">
      <alignment horizontal="left" vertical="center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35" fillId="0" borderId="0" xfId="43" applyFont="1" applyAlignment="1">
      <alignment horizontal="left"/>
    </xf>
    <xf numFmtId="0" fontId="35" fillId="0" borderId="0" xfId="43" applyFont="1" applyAlignment="1">
      <alignment horizontal="center"/>
    </xf>
    <xf numFmtId="0" fontId="6" fillId="0" borderId="5" xfId="0" applyFont="1" applyFill="1" applyBorder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V463 And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9E2-420B-A530-C4D55989E51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9E2-420B-A530-C4D55989E51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0.12992749999830266</c:v>
                </c:pt>
                <c:pt idx="2">
                  <c:v>0.1207799999974668</c:v>
                </c:pt>
                <c:pt idx="3">
                  <c:v>0.12228999999933876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9E2-420B-A530-C4D55989E51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0.13359749999654014</c:v>
                </c:pt>
                <c:pt idx="5">
                  <c:v>0.14602749999903608</c:v>
                </c:pt>
                <c:pt idx="6">
                  <c:v>0.14610750000429107</c:v>
                </c:pt>
                <c:pt idx="7">
                  <c:v>0.14672750000318047</c:v>
                </c:pt>
                <c:pt idx="8">
                  <c:v>0.14682750000065425</c:v>
                </c:pt>
                <c:pt idx="9">
                  <c:v>0.14594249999208841</c:v>
                </c:pt>
                <c:pt idx="10">
                  <c:v>0.14604249999683816</c:v>
                </c:pt>
                <c:pt idx="11">
                  <c:v>0.14452249999158084</c:v>
                </c:pt>
                <c:pt idx="12">
                  <c:v>0.1419949999981327</c:v>
                </c:pt>
                <c:pt idx="13">
                  <c:v>0.14344749999872874</c:v>
                </c:pt>
                <c:pt idx="15">
                  <c:v>0.14427749999595108</c:v>
                </c:pt>
                <c:pt idx="16">
                  <c:v>0.18926249999640277</c:v>
                </c:pt>
                <c:pt idx="17">
                  <c:v>0.20203249999758555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9E2-420B-A530-C4D55989E51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14">
                  <c:v>0.14283249999425607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9E2-420B-A530-C4D55989E51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9E2-420B-A530-C4D55989E51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9E2-420B-A530-C4D55989E51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3.8861405777484911E-2</c:v>
                </c:pt>
                <c:pt idx="1">
                  <c:v>0.12706288965383494</c:v>
                </c:pt>
                <c:pt idx="2">
                  <c:v>0.12706775970429468</c:v>
                </c:pt>
                <c:pt idx="3">
                  <c:v>0.12708723990613363</c:v>
                </c:pt>
                <c:pt idx="4">
                  <c:v>0.13616014391262915</c:v>
                </c:pt>
                <c:pt idx="5">
                  <c:v>0.14334833839120531</c:v>
                </c:pt>
                <c:pt idx="6">
                  <c:v>0.14334833839120531</c:v>
                </c:pt>
                <c:pt idx="7">
                  <c:v>0.14334833839120531</c:v>
                </c:pt>
                <c:pt idx="8">
                  <c:v>0.14334833839120531</c:v>
                </c:pt>
                <c:pt idx="9">
                  <c:v>0.14339703889580269</c:v>
                </c:pt>
                <c:pt idx="10">
                  <c:v>0.14339703889580269</c:v>
                </c:pt>
                <c:pt idx="11">
                  <c:v>0.14400092515281043</c:v>
                </c:pt>
                <c:pt idx="12">
                  <c:v>0.1440447556069481</c:v>
                </c:pt>
                <c:pt idx="13">
                  <c:v>0.14404962565740784</c:v>
                </c:pt>
                <c:pt idx="14">
                  <c:v>0.14441000939142862</c:v>
                </c:pt>
                <c:pt idx="15">
                  <c:v>0.14508207635487269</c:v>
                </c:pt>
                <c:pt idx="16">
                  <c:v>0.18849370615299454</c:v>
                </c:pt>
                <c:pt idx="17">
                  <c:v>0.20499343711059342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9E2-420B-A530-C4D55989E51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9E2-420B-A530-C4D55989E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572144"/>
        <c:axId val="1"/>
      </c:scatterChart>
      <c:valAx>
        <c:axId val="676572144"/>
        <c:scaling>
          <c:orientation val="minMax"/>
          <c:min val="9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572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646616541353384"/>
          <c:y val="0.92397937099967764"/>
          <c:w val="0.753383458646616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V0463 And - O-C Diagr.</a:t>
            </a:r>
          </a:p>
        </c:rich>
      </c:tx>
      <c:layout>
        <c:manualLayout>
          <c:xMode val="edge"/>
          <c:yMode val="edge"/>
          <c:x val="0.37237284528623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3994189017784567"/>
          <c:w val="0.8258270367443176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AE-42D1-8257-07F04862F95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AE-42D1-8257-07F04862F95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1">
                  <c:v>0.12992749999830266</c:v>
                </c:pt>
                <c:pt idx="2">
                  <c:v>0.1207799999974668</c:v>
                </c:pt>
                <c:pt idx="3">
                  <c:v>0.12228999999933876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EAE-42D1-8257-07F04862F95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4">
                  <c:v>0.13359749999654014</c:v>
                </c:pt>
                <c:pt idx="5">
                  <c:v>0.14602749999903608</c:v>
                </c:pt>
                <c:pt idx="6">
                  <c:v>0.14610750000429107</c:v>
                </c:pt>
                <c:pt idx="7">
                  <c:v>0.14672750000318047</c:v>
                </c:pt>
                <c:pt idx="8">
                  <c:v>0.14682750000065425</c:v>
                </c:pt>
                <c:pt idx="9">
                  <c:v>0.14594249999208841</c:v>
                </c:pt>
                <c:pt idx="10">
                  <c:v>0.14604249999683816</c:v>
                </c:pt>
                <c:pt idx="11">
                  <c:v>0.14452249999158084</c:v>
                </c:pt>
                <c:pt idx="12">
                  <c:v>0.1419949999981327</c:v>
                </c:pt>
                <c:pt idx="13">
                  <c:v>0.14344749999872874</c:v>
                </c:pt>
                <c:pt idx="15">
                  <c:v>0.14427749999595108</c:v>
                </c:pt>
                <c:pt idx="16">
                  <c:v>0.18926249999640277</c:v>
                </c:pt>
                <c:pt idx="17">
                  <c:v>0.20203249999758555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EAE-42D1-8257-07F04862F95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  <c:pt idx="14">
                  <c:v>0.14283249999425607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EAE-42D1-8257-07F04862F9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EAE-42D1-8257-07F04862F9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1.9E-3</c:v>
                  </c:pt>
                  <c:pt idx="2">
                    <c:v>4.0000000000000002E-4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1.4E-3</c:v>
                  </c:pt>
                  <c:pt idx="6">
                    <c:v>5.9999999999999995E-4</c:v>
                  </c:pt>
                  <c:pt idx="7">
                    <c:v>2.5000000000000001E-3</c:v>
                  </c:pt>
                  <c:pt idx="8">
                    <c:v>1E-3</c:v>
                  </c:pt>
                  <c:pt idx="9">
                    <c:v>2.3999999999999998E-3</c:v>
                  </c:pt>
                  <c:pt idx="10">
                    <c:v>2.5000000000000001E-3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4.0000000000000002E-4</c:v>
                  </c:pt>
                  <c:pt idx="16">
                    <c:v>1E-4</c:v>
                  </c:pt>
                  <c:pt idx="1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EAE-42D1-8257-07F04862F9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3.8861405777484911E-2</c:v>
                </c:pt>
                <c:pt idx="1">
                  <c:v>0.12706288965383494</c:v>
                </c:pt>
                <c:pt idx="2">
                  <c:v>0.12706775970429468</c:v>
                </c:pt>
                <c:pt idx="3">
                  <c:v>0.12708723990613363</c:v>
                </c:pt>
                <c:pt idx="4">
                  <c:v>0.13616014391262915</c:v>
                </c:pt>
                <c:pt idx="5">
                  <c:v>0.14334833839120531</c:v>
                </c:pt>
                <c:pt idx="6">
                  <c:v>0.14334833839120531</c:v>
                </c:pt>
                <c:pt idx="7">
                  <c:v>0.14334833839120531</c:v>
                </c:pt>
                <c:pt idx="8">
                  <c:v>0.14334833839120531</c:v>
                </c:pt>
                <c:pt idx="9">
                  <c:v>0.14339703889580269</c:v>
                </c:pt>
                <c:pt idx="10">
                  <c:v>0.14339703889580269</c:v>
                </c:pt>
                <c:pt idx="11">
                  <c:v>0.14400092515281043</c:v>
                </c:pt>
                <c:pt idx="12">
                  <c:v>0.1440447556069481</c:v>
                </c:pt>
                <c:pt idx="13">
                  <c:v>0.14404962565740784</c:v>
                </c:pt>
                <c:pt idx="14">
                  <c:v>0.14441000939142862</c:v>
                </c:pt>
                <c:pt idx="15">
                  <c:v>0.14508207635487269</c:v>
                </c:pt>
                <c:pt idx="16">
                  <c:v>0.18849370615299454</c:v>
                </c:pt>
                <c:pt idx="17">
                  <c:v>0.20499343711059342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EAE-42D1-8257-07F04862F95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0</c:v>
                </c:pt>
                <c:pt idx="1">
                  <c:v>9055.5</c:v>
                </c:pt>
                <c:pt idx="2">
                  <c:v>9056</c:v>
                </c:pt>
                <c:pt idx="3">
                  <c:v>9058</c:v>
                </c:pt>
                <c:pt idx="4">
                  <c:v>9989.5</c:v>
                </c:pt>
                <c:pt idx="5">
                  <c:v>10727.5</c:v>
                </c:pt>
                <c:pt idx="6">
                  <c:v>10727.5</c:v>
                </c:pt>
                <c:pt idx="7">
                  <c:v>10727.5</c:v>
                </c:pt>
                <c:pt idx="8">
                  <c:v>10727.5</c:v>
                </c:pt>
                <c:pt idx="9">
                  <c:v>10732.5</c:v>
                </c:pt>
                <c:pt idx="10">
                  <c:v>10732.5</c:v>
                </c:pt>
                <c:pt idx="11">
                  <c:v>10794.5</c:v>
                </c:pt>
                <c:pt idx="12">
                  <c:v>10799</c:v>
                </c:pt>
                <c:pt idx="13">
                  <c:v>10799.5</c:v>
                </c:pt>
                <c:pt idx="14">
                  <c:v>10836.5</c:v>
                </c:pt>
                <c:pt idx="15">
                  <c:v>10905.5</c:v>
                </c:pt>
                <c:pt idx="16">
                  <c:v>15362.5</c:v>
                </c:pt>
                <c:pt idx="17">
                  <c:v>17056.5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EAE-42D1-8257-07F04862F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6577904"/>
        <c:axId val="1"/>
      </c:scatterChart>
      <c:valAx>
        <c:axId val="676577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6577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6880029635935"/>
          <c:y val="0.92419947506561673"/>
          <c:w val="0.75225335571792273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657225</xdr:colOff>
      <xdr:row>18</xdr:row>
      <xdr:rowOff>161925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FBC79CB-0E33-415A-6456-8BC8FE716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0</xdr:row>
      <xdr:rowOff>0</xdr:rowOff>
    </xdr:from>
    <xdr:to>
      <xdr:col>27</xdr:col>
      <xdr:colOff>276225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809789AD-1C47-87D0-2315-42DBB73CD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60.pdf" TargetMode="External"/><Relationship Id="rId13" Type="http://schemas.openxmlformats.org/officeDocument/2006/relationships/hyperlink" Target="http://www.bav-astro.de/sfs/BAVM_link.php?BAVMnr=225" TargetMode="External"/><Relationship Id="rId3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var.astro.cz/oejv/issues/oejv0160.pdf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214" TargetMode="External"/><Relationship Id="rId16" Type="http://schemas.openxmlformats.org/officeDocument/2006/relationships/hyperlink" Target="http://www.konkoly.hu/cgi-bin/IBVS?601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160.pdf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5960" TargetMode="External"/><Relationship Id="rId15" Type="http://schemas.openxmlformats.org/officeDocument/2006/relationships/hyperlink" Target="http://www.konkoly.hu/cgi-bin/IBVS?6018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214" TargetMode="External"/><Relationship Id="rId9" Type="http://schemas.openxmlformats.org/officeDocument/2006/relationships/hyperlink" Target="http://var.astro.cz/oejv/issues/oejv0160.pdf" TargetMode="External"/><Relationship Id="rId14" Type="http://schemas.openxmlformats.org/officeDocument/2006/relationships/hyperlink" Target="http://www.bav-astro.de/sfs/BAVM_link.php?BAVMnr=2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57031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38</v>
      </c>
    </row>
    <row r="2" spans="1:6" x14ac:dyDescent="0.2">
      <c r="A2" t="s">
        <v>24</v>
      </c>
      <c r="B2" s="12" t="s">
        <v>35</v>
      </c>
      <c r="C2" s="3"/>
      <c r="D2" t="s">
        <v>34</v>
      </c>
    </row>
    <row r="3" spans="1:6" ht="13.5" thickBot="1" x14ac:dyDescent="0.25"/>
    <row r="4" spans="1:6" ht="14.25" thickTop="1" thickBot="1" x14ac:dyDescent="0.25">
      <c r="A4" s="28" t="s">
        <v>36</v>
      </c>
      <c r="C4" s="8">
        <v>51446.889000000003</v>
      </c>
      <c r="D4" s="9">
        <v>0.40609499999999998</v>
      </c>
    </row>
    <row r="5" spans="1:6" ht="13.5" thickTop="1" x14ac:dyDescent="0.2">
      <c r="A5" s="11" t="s">
        <v>28</v>
      </c>
      <c r="B5" s="12"/>
      <c r="C5" s="13">
        <v>-9.5</v>
      </c>
      <c r="D5" s="12" t="s">
        <v>29</v>
      </c>
    </row>
    <row r="6" spans="1:6" x14ac:dyDescent="0.2">
      <c r="A6" s="5" t="s">
        <v>2</v>
      </c>
    </row>
    <row r="7" spans="1:6" x14ac:dyDescent="0.2">
      <c r="A7" t="s">
        <v>3</v>
      </c>
      <c r="C7">
        <v>51446.889000000003</v>
      </c>
    </row>
    <row r="8" spans="1:6" x14ac:dyDescent="0.2">
      <c r="A8" t="s">
        <v>4</v>
      </c>
      <c r="C8">
        <v>0.40609499999999998</v>
      </c>
    </row>
    <row r="9" spans="1:6" x14ac:dyDescent="0.2">
      <c r="A9" s="26" t="s">
        <v>33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6" x14ac:dyDescent="0.2">
      <c r="A11" s="12" t="s">
        <v>16</v>
      </c>
      <c r="B11" s="12"/>
      <c r="C11" s="23">
        <f ca="1">INTERCEPT(INDIRECT($D$9):G991,INDIRECT($C$9):F991)</f>
        <v>3.8861405777484911E-2</v>
      </c>
      <c r="D11" s="3"/>
      <c r="E11" s="12"/>
    </row>
    <row r="12" spans="1:6" x14ac:dyDescent="0.2">
      <c r="A12" s="12" t="s">
        <v>17</v>
      </c>
      <c r="B12" s="12"/>
      <c r="C12" s="23">
        <f ca="1">SLOPE(INDIRECT($D$9):G991,INDIRECT($C$9):F991)</f>
        <v>9.740100919479877E-6</v>
      </c>
      <c r="D12" s="3"/>
      <c r="E12" s="12"/>
    </row>
    <row r="13" spans="1:6" x14ac:dyDescent="0.2">
      <c r="A13" s="12" t="s">
        <v>19</v>
      </c>
      <c r="B13" s="12"/>
      <c r="C13" s="3" t="s">
        <v>14</v>
      </c>
    </row>
    <row r="14" spans="1:6" x14ac:dyDescent="0.2">
      <c r="A14" s="12"/>
      <c r="B14" s="12"/>
      <c r="C14" s="12"/>
    </row>
    <row r="15" spans="1:6" x14ac:dyDescent="0.2">
      <c r="A15" s="14" t="s">
        <v>18</v>
      </c>
      <c r="B15" s="12"/>
      <c r="C15" s="15">
        <f ca="1">(C7+C11)+(C8+C12)*INT(MAX(F21:F3532))</f>
        <v>58373.450308567066</v>
      </c>
      <c r="E15" s="16" t="s">
        <v>41</v>
      </c>
      <c r="F15" s="13">
        <v>1</v>
      </c>
    </row>
    <row r="16" spans="1:6" x14ac:dyDescent="0.2">
      <c r="A16" s="18" t="s">
        <v>5</v>
      </c>
      <c r="B16" s="12"/>
      <c r="C16" s="19">
        <f ca="1">+C8+C12</f>
        <v>0.40610474010091946</v>
      </c>
      <c r="E16" s="16" t="s">
        <v>30</v>
      </c>
      <c r="F16" s="17">
        <f ca="1">NOW()+15018.5+$C$5/24</f>
        <v>60319.534919212958</v>
      </c>
    </row>
    <row r="17" spans="1:21" ht="13.5" thickBot="1" x14ac:dyDescent="0.25">
      <c r="A17" s="16" t="s">
        <v>27</v>
      </c>
      <c r="B17" s="12"/>
      <c r="C17" s="12">
        <f>COUNT(C21:C2190)</f>
        <v>18</v>
      </c>
      <c r="E17" s="16" t="s">
        <v>42</v>
      </c>
      <c r="F17" s="17">
        <f ca="1">ROUND(2*(F16-$C$7)/$C$8,0)/2+F15</f>
        <v>21849.5</v>
      </c>
    </row>
    <row r="18" spans="1:21" ht="14.25" thickTop="1" thickBot="1" x14ac:dyDescent="0.25">
      <c r="A18" s="18" t="s">
        <v>6</v>
      </c>
      <c r="B18" s="12"/>
      <c r="C18" s="21">
        <f ca="1">+C15</f>
        <v>58373.450308567066</v>
      </c>
      <c r="D18" s="22">
        <f ca="1">+C16</f>
        <v>0.40610474010091946</v>
      </c>
      <c r="E18" s="16" t="s">
        <v>31</v>
      </c>
      <c r="F18" s="25">
        <f ca="1">ROUND(2*(F16-$C$15)/$C$16,0)/2+F15</f>
        <v>4793</v>
      </c>
    </row>
    <row r="19" spans="1:21" ht="13.5" thickTop="1" x14ac:dyDescent="0.2">
      <c r="E19" s="16" t="s">
        <v>32</v>
      </c>
      <c r="F19" s="20">
        <f ca="1">+$C$15+$C$16*F18-15018.5-$C$5/24</f>
        <v>45301.806161204106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56</v>
      </c>
      <c r="I20" s="7" t="s">
        <v>59</v>
      </c>
      <c r="J20" s="7" t="s">
        <v>53</v>
      </c>
      <c r="K20" s="7" t="s">
        <v>51</v>
      </c>
      <c r="L20" s="7" t="s">
        <v>43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  <c r="U20" s="50" t="s">
        <v>127</v>
      </c>
    </row>
    <row r="21" spans="1:21" x14ac:dyDescent="0.2">
      <c r="A21" s="29" t="s">
        <v>37</v>
      </c>
      <c r="B21" s="32"/>
      <c r="C21" s="33">
        <v>51446.889000000003</v>
      </c>
      <c r="D21" s="33" t="s">
        <v>14</v>
      </c>
      <c r="E21">
        <f t="shared" ref="E21:E36" si="0">+(C21-C$7)/C$8</f>
        <v>0</v>
      </c>
      <c r="F21">
        <f>ROUND(2*E21,0)/2</f>
        <v>0</v>
      </c>
      <c r="G21">
        <f t="shared" ref="G21:G36" si="1">+C21-(C$7+F21*C$8)</f>
        <v>0</v>
      </c>
      <c r="I21">
        <f>+G21</f>
        <v>0</v>
      </c>
      <c r="O21">
        <f t="shared" ref="O21:O36" ca="1" si="2">+C$11+C$12*$F21</f>
        <v>3.8861405777484911E-2</v>
      </c>
      <c r="Q21" s="2">
        <f t="shared" ref="Q21:Q36" si="3">+C21-15018.5</f>
        <v>36428.389000000003</v>
      </c>
    </row>
    <row r="22" spans="1:21" x14ac:dyDescent="0.2">
      <c r="A22" s="34" t="s">
        <v>44</v>
      </c>
      <c r="B22" s="35" t="s">
        <v>40</v>
      </c>
      <c r="C22" s="34">
        <v>55124.412199999999</v>
      </c>
      <c r="D22" s="34">
        <v>1.9E-3</v>
      </c>
      <c r="E22" s="30">
        <f t="shared" si="0"/>
        <v>9055.8199436092436</v>
      </c>
      <c r="F22" s="31">
        <f t="shared" ref="F22:F38" si="4">ROUND(2*E22,0)/2-0.5</f>
        <v>9055.5</v>
      </c>
      <c r="G22" s="30">
        <f t="shared" si="1"/>
        <v>0.12992749999830266</v>
      </c>
      <c r="J22">
        <f>+G22</f>
        <v>0.12992749999830266</v>
      </c>
      <c r="O22">
        <f t="shared" ca="1" si="2"/>
        <v>0.12706288965383494</v>
      </c>
      <c r="Q22" s="2">
        <f t="shared" si="3"/>
        <v>40105.912199999999</v>
      </c>
    </row>
    <row r="23" spans="1:21" x14ac:dyDescent="0.2">
      <c r="A23" s="34" t="s">
        <v>44</v>
      </c>
      <c r="B23" s="35" t="s">
        <v>45</v>
      </c>
      <c r="C23" s="51">
        <v>55124.606099999997</v>
      </c>
      <c r="D23" s="34">
        <v>4.0000000000000002E-4</v>
      </c>
      <c r="E23" s="30">
        <f t="shared" si="0"/>
        <v>9056.2974180918118</v>
      </c>
      <c r="F23" s="31">
        <f t="shared" si="4"/>
        <v>9056</v>
      </c>
      <c r="G23" s="30">
        <f t="shared" si="1"/>
        <v>0.1207799999974668</v>
      </c>
      <c r="J23">
        <f>+G23</f>
        <v>0.1207799999974668</v>
      </c>
      <c r="O23">
        <f t="shared" ca="1" si="2"/>
        <v>0.12706775970429468</v>
      </c>
      <c r="Q23" s="2">
        <f t="shared" si="3"/>
        <v>40106.106099999997</v>
      </c>
    </row>
    <row r="24" spans="1:21" x14ac:dyDescent="0.2">
      <c r="A24" s="34" t="s">
        <v>44</v>
      </c>
      <c r="B24" s="35" t="s">
        <v>45</v>
      </c>
      <c r="C24" s="34">
        <v>55125.419800000003</v>
      </c>
      <c r="D24" s="34">
        <v>2.0000000000000001E-4</v>
      </c>
      <c r="E24" s="30">
        <f t="shared" si="0"/>
        <v>9058.3011364335944</v>
      </c>
      <c r="F24" s="31">
        <f t="shared" si="4"/>
        <v>9058</v>
      </c>
      <c r="G24" s="30">
        <f t="shared" si="1"/>
        <v>0.12228999999933876</v>
      </c>
      <c r="J24">
        <f>+G24</f>
        <v>0.12228999999933876</v>
      </c>
      <c r="O24">
        <f t="shared" ca="1" si="2"/>
        <v>0.12708723990613363</v>
      </c>
      <c r="Q24" s="2">
        <f t="shared" si="3"/>
        <v>40106.919800000003</v>
      </c>
    </row>
    <row r="25" spans="1:21" x14ac:dyDescent="0.2">
      <c r="A25" s="34" t="s">
        <v>39</v>
      </c>
      <c r="B25" s="35" t="s">
        <v>40</v>
      </c>
      <c r="C25" s="34">
        <v>55503.708599999998</v>
      </c>
      <c r="D25" s="34">
        <v>5.0000000000000001E-4</v>
      </c>
      <c r="E25" s="30">
        <f t="shared" si="0"/>
        <v>9989.8289809034723</v>
      </c>
      <c r="F25" s="31">
        <f t="shared" si="4"/>
        <v>9989.5</v>
      </c>
      <c r="G25" s="30">
        <f t="shared" si="1"/>
        <v>0.13359749999654014</v>
      </c>
      <c r="K25">
        <f t="shared" ref="K25:K34" si="5">+G25</f>
        <v>0.13359749999654014</v>
      </c>
      <c r="O25">
        <f t="shared" ca="1" si="2"/>
        <v>0.13616014391262915</v>
      </c>
      <c r="Q25" s="2">
        <f t="shared" si="3"/>
        <v>40485.208599999998</v>
      </c>
    </row>
    <row r="26" spans="1:21" x14ac:dyDescent="0.2">
      <c r="A26" s="52" t="s">
        <v>48</v>
      </c>
      <c r="B26" s="53" t="s">
        <v>40</v>
      </c>
      <c r="C26" s="54">
        <v>55803.419139999998</v>
      </c>
      <c r="D26" s="54">
        <v>1.4E-3</v>
      </c>
      <c r="E26" s="30">
        <f t="shared" si="0"/>
        <v>10727.859589504907</v>
      </c>
      <c r="F26" s="31">
        <f t="shared" si="4"/>
        <v>10727.5</v>
      </c>
      <c r="G26" s="30">
        <f t="shared" si="1"/>
        <v>0.14602749999903608</v>
      </c>
      <c r="K26">
        <f t="shared" si="5"/>
        <v>0.14602749999903608</v>
      </c>
      <c r="O26">
        <f t="shared" ca="1" si="2"/>
        <v>0.14334833839120531</v>
      </c>
      <c r="Q26" s="2">
        <f t="shared" si="3"/>
        <v>40784.919139999998</v>
      </c>
    </row>
    <row r="27" spans="1:21" x14ac:dyDescent="0.2">
      <c r="A27" s="52" t="s">
        <v>48</v>
      </c>
      <c r="B27" s="53" t="s">
        <v>40</v>
      </c>
      <c r="C27" s="54">
        <v>55803.419220000003</v>
      </c>
      <c r="D27" s="54">
        <v>5.9999999999999995E-4</v>
      </c>
      <c r="E27" s="30">
        <f t="shared" si="0"/>
        <v>10727.859786503161</v>
      </c>
      <c r="F27" s="31">
        <f t="shared" si="4"/>
        <v>10727.5</v>
      </c>
      <c r="G27" s="30">
        <f t="shared" si="1"/>
        <v>0.14610750000429107</v>
      </c>
      <c r="K27">
        <f t="shared" si="5"/>
        <v>0.14610750000429107</v>
      </c>
      <c r="O27">
        <f t="shared" ca="1" si="2"/>
        <v>0.14334833839120531</v>
      </c>
      <c r="Q27" s="2">
        <f t="shared" si="3"/>
        <v>40784.919220000003</v>
      </c>
    </row>
    <row r="28" spans="1:21" x14ac:dyDescent="0.2">
      <c r="A28" s="52" t="s">
        <v>48</v>
      </c>
      <c r="B28" s="53" t="s">
        <v>40</v>
      </c>
      <c r="C28" s="54">
        <v>55803.419840000002</v>
      </c>
      <c r="D28" s="54">
        <v>2.5000000000000001E-3</v>
      </c>
      <c r="E28" s="30">
        <f t="shared" si="0"/>
        <v>10727.861313239511</v>
      </c>
      <c r="F28" s="31">
        <f t="shared" si="4"/>
        <v>10727.5</v>
      </c>
      <c r="G28" s="30">
        <f t="shared" si="1"/>
        <v>0.14672750000318047</v>
      </c>
      <c r="K28">
        <f t="shared" si="5"/>
        <v>0.14672750000318047</v>
      </c>
      <c r="O28">
        <f t="shared" ca="1" si="2"/>
        <v>0.14334833839120531</v>
      </c>
      <c r="Q28" s="2">
        <f t="shared" si="3"/>
        <v>40784.919840000002</v>
      </c>
    </row>
    <row r="29" spans="1:21" x14ac:dyDescent="0.2">
      <c r="A29" s="52" t="s">
        <v>48</v>
      </c>
      <c r="B29" s="53" t="s">
        <v>40</v>
      </c>
      <c r="C29" s="54">
        <v>55803.41994</v>
      </c>
      <c r="D29" s="54">
        <v>1E-3</v>
      </c>
      <c r="E29" s="30">
        <f t="shared" si="0"/>
        <v>10727.861559487304</v>
      </c>
      <c r="F29" s="31">
        <f t="shared" si="4"/>
        <v>10727.5</v>
      </c>
      <c r="G29" s="30">
        <f t="shared" si="1"/>
        <v>0.14682750000065425</v>
      </c>
      <c r="K29">
        <f t="shared" si="5"/>
        <v>0.14682750000065425</v>
      </c>
      <c r="O29">
        <f t="shared" ca="1" si="2"/>
        <v>0.14334833839120531</v>
      </c>
      <c r="Q29" s="2">
        <f t="shared" si="3"/>
        <v>40784.91994</v>
      </c>
    </row>
    <row r="30" spans="1:21" x14ac:dyDescent="0.2">
      <c r="A30" s="52" t="s">
        <v>48</v>
      </c>
      <c r="B30" s="53" t="s">
        <v>40</v>
      </c>
      <c r="C30" s="54">
        <v>55805.449529999998</v>
      </c>
      <c r="D30" s="54">
        <v>2.3999999999999998E-3</v>
      </c>
      <c r="E30" s="30">
        <f t="shared" si="0"/>
        <v>10732.859380194279</v>
      </c>
      <c r="F30" s="31">
        <f t="shared" si="4"/>
        <v>10732.5</v>
      </c>
      <c r="G30" s="30">
        <f t="shared" si="1"/>
        <v>0.14594249999208841</v>
      </c>
      <c r="K30">
        <f t="shared" si="5"/>
        <v>0.14594249999208841</v>
      </c>
      <c r="O30">
        <f t="shared" ca="1" si="2"/>
        <v>0.14339703889580269</v>
      </c>
      <c r="Q30" s="2">
        <f t="shared" si="3"/>
        <v>40786.949529999998</v>
      </c>
    </row>
    <row r="31" spans="1:21" x14ac:dyDescent="0.2">
      <c r="A31" s="52" t="s">
        <v>48</v>
      </c>
      <c r="B31" s="53" t="s">
        <v>40</v>
      </c>
      <c r="C31" s="54">
        <v>55805.449630000003</v>
      </c>
      <c r="D31" s="54">
        <v>2.5000000000000001E-3</v>
      </c>
      <c r="E31" s="30">
        <f t="shared" si="0"/>
        <v>10732.859626442088</v>
      </c>
      <c r="F31" s="31">
        <f t="shared" si="4"/>
        <v>10732.5</v>
      </c>
      <c r="G31" s="30">
        <f t="shared" si="1"/>
        <v>0.14604249999683816</v>
      </c>
      <c r="K31">
        <f t="shared" si="5"/>
        <v>0.14604249999683816</v>
      </c>
      <c r="O31">
        <f t="shared" ca="1" si="2"/>
        <v>0.14339703889580269</v>
      </c>
      <c r="Q31" s="2">
        <f t="shared" si="3"/>
        <v>40786.949630000003</v>
      </c>
    </row>
    <row r="32" spans="1:21" x14ac:dyDescent="0.2">
      <c r="A32" s="25" t="s">
        <v>107</v>
      </c>
      <c r="B32" s="3" t="s">
        <v>40</v>
      </c>
      <c r="C32" s="10">
        <v>55830.625999999997</v>
      </c>
      <c r="D32" s="10" t="s">
        <v>59</v>
      </c>
      <c r="E32" s="30">
        <f t="shared" si="0"/>
        <v>10794.855883475526</v>
      </c>
      <c r="F32" s="31">
        <f t="shared" si="4"/>
        <v>10794.5</v>
      </c>
      <c r="G32" s="30">
        <f t="shared" si="1"/>
        <v>0.14452249999158084</v>
      </c>
      <c r="K32">
        <f t="shared" si="5"/>
        <v>0.14452249999158084</v>
      </c>
      <c r="O32">
        <f t="shared" ca="1" si="2"/>
        <v>0.14400092515281043</v>
      </c>
      <c r="Q32" s="2">
        <f t="shared" si="3"/>
        <v>40812.125999999997</v>
      </c>
    </row>
    <row r="33" spans="1:17" x14ac:dyDescent="0.2">
      <c r="A33" s="25" t="s">
        <v>107</v>
      </c>
      <c r="B33" s="3" t="s">
        <v>45</v>
      </c>
      <c r="C33" s="10">
        <v>55832.450900000003</v>
      </c>
      <c r="D33" s="10" t="s">
        <v>59</v>
      </c>
      <c r="E33" s="30">
        <f t="shared" si="0"/>
        <v>10799.34965956242</v>
      </c>
      <c r="F33" s="31">
        <f t="shared" si="4"/>
        <v>10799</v>
      </c>
      <c r="G33" s="30">
        <f t="shared" si="1"/>
        <v>0.1419949999981327</v>
      </c>
      <c r="K33">
        <f t="shared" si="5"/>
        <v>0.1419949999981327</v>
      </c>
      <c r="O33">
        <f t="shared" ca="1" si="2"/>
        <v>0.1440447556069481</v>
      </c>
      <c r="Q33" s="2">
        <f t="shared" si="3"/>
        <v>40813.950900000003</v>
      </c>
    </row>
    <row r="34" spans="1:17" x14ac:dyDescent="0.2">
      <c r="A34" s="25" t="s">
        <v>107</v>
      </c>
      <c r="B34" s="3" t="s">
        <v>40</v>
      </c>
      <c r="C34" s="10">
        <v>55832.655400000003</v>
      </c>
      <c r="D34" s="10" t="s">
        <v>59</v>
      </c>
      <c r="E34" s="30">
        <f t="shared" si="0"/>
        <v>10799.853236311703</v>
      </c>
      <c r="F34" s="31">
        <f t="shared" si="4"/>
        <v>10799.5</v>
      </c>
      <c r="G34" s="30">
        <f t="shared" si="1"/>
        <v>0.14344749999872874</v>
      </c>
      <c r="K34">
        <f t="shared" si="5"/>
        <v>0.14344749999872874</v>
      </c>
      <c r="O34">
        <f t="shared" ca="1" si="2"/>
        <v>0.14404962565740784</v>
      </c>
      <c r="Q34" s="2">
        <f t="shared" si="3"/>
        <v>40814.155400000003</v>
      </c>
    </row>
    <row r="35" spans="1:17" x14ac:dyDescent="0.2">
      <c r="A35" s="36" t="s">
        <v>47</v>
      </c>
      <c r="B35" s="32"/>
      <c r="C35" s="33">
        <v>55847.6803</v>
      </c>
      <c r="D35" s="33">
        <v>2.0000000000000001E-4</v>
      </c>
      <c r="E35" s="30">
        <f t="shared" si="0"/>
        <v>10836.85172188773</v>
      </c>
      <c r="F35" s="60">
        <f t="shared" si="4"/>
        <v>10836.5</v>
      </c>
      <c r="G35" s="30">
        <f t="shared" si="1"/>
        <v>0.14283249999425607</v>
      </c>
      <c r="L35">
        <f>+G35</f>
        <v>0.14283249999425607</v>
      </c>
      <c r="O35">
        <f t="shared" ca="1" si="2"/>
        <v>0.14441000939142862</v>
      </c>
      <c r="Q35" s="2">
        <f t="shared" si="3"/>
        <v>40829.1803</v>
      </c>
    </row>
    <row r="36" spans="1:17" x14ac:dyDescent="0.2">
      <c r="A36" s="34" t="s">
        <v>46</v>
      </c>
      <c r="B36" s="35" t="s">
        <v>40</v>
      </c>
      <c r="C36" s="34">
        <v>55875.702299999997</v>
      </c>
      <c r="D36" s="34">
        <v>4.0000000000000002E-4</v>
      </c>
      <c r="E36" s="30">
        <f t="shared" si="0"/>
        <v>10905.85528016842</v>
      </c>
      <c r="F36" s="60">
        <f t="shared" si="4"/>
        <v>10905.5</v>
      </c>
      <c r="G36" s="30">
        <f t="shared" si="1"/>
        <v>0.14427749999595108</v>
      </c>
      <c r="K36">
        <f>+G36</f>
        <v>0.14427749999595108</v>
      </c>
      <c r="O36">
        <f t="shared" ca="1" si="2"/>
        <v>0.14508207635487269</v>
      </c>
      <c r="Q36" s="2">
        <f t="shared" si="3"/>
        <v>40857.202299999997</v>
      </c>
    </row>
    <row r="37" spans="1:17" x14ac:dyDescent="0.2">
      <c r="A37" s="55" t="s">
        <v>1</v>
      </c>
      <c r="B37" s="56" t="s">
        <v>40</v>
      </c>
      <c r="C37" s="57">
        <v>57685.712699999996</v>
      </c>
      <c r="D37" s="57">
        <v>1E-4</v>
      </c>
      <c r="E37" s="30">
        <f>+(C37-C$7)/C$8</f>
        <v>15362.966054740871</v>
      </c>
      <c r="F37" s="60">
        <f t="shared" si="4"/>
        <v>15362.5</v>
      </c>
      <c r="G37" s="30">
        <f>+C37-(C$7+F37*C$8)</f>
        <v>0.18926249999640277</v>
      </c>
      <c r="K37">
        <f>+G37</f>
        <v>0.18926249999640277</v>
      </c>
      <c r="O37">
        <f ca="1">+C$11+C$12*$F37</f>
        <v>0.18849370615299454</v>
      </c>
      <c r="Q37" s="2">
        <f>+C37-15018.5</f>
        <v>42667.212699999996</v>
      </c>
    </row>
    <row r="38" spans="1:17" x14ac:dyDescent="0.2">
      <c r="A38" s="58" t="s">
        <v>0</v>
      </c>
      <c r="B38" s="59" t="s">
        <v>40</v>
      </c>
      <c r="C38" s="58">
        <v>58373.650399999999</v>
      </c>
      <c r="D38" s="58">
        <v>2.0000000000000001E-4</v>
      </c>
      <c r="E38" s="30">
        <f>+(C38-C$7)/C$8</f>
        <v>17056.997500584828</v>
      </c>
      <c r="F38" s="60">
        <f t="shared" si="4"/>
        <v>17056.5</v>
      </c>
      <c r="G38" s="30">
        <f>+C38-(C$7+F38*C$8)</f>
        <v>0.20203249999758555</v>
      </c>
      <c r="K38">
        <f>+G38</f>
        <v>0.20203249999758555</v>
      </c>
      <c r="O38">
        <f ca="1">+C$11+C$12*$F38</f>
        <v>0.20499343711059342</v>
      </c>
      <c r="Q38" s="2">
        <f>+C38-15018.5</f>
        <v>43355.150399999999</v>
      </c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</sheetData>
  <phoneticPr fontId="8" type="noConversion"/>
  <hyperlinks>
    <hyperlink ref="H64905" r:id="rId1" display="http://vsolj.cetus-net.org/bulletin.html" xr:uid="{00000000-0004-0000-0000-000000000000}"/>
    <hyperlink ref="H64898" r:id="rId2" display="http://vsolj.cetus-net.org/bulletin.html" xr:uid="{00000000-0004-0000-0000-000001000000}"/>
    <hyperlink ref="AP2395" r:id="rId3" display="http://cdsbib.u-strasbg.fr/cgi-bin/cdsbib?1990RMxAA..21..381G" xr:uid="{00000000-0004-0000-0000-000002000000}"/>
    <hyperlink ref="AP2398" r:id="rId4" display="http://cdsbib.u-strasbg.fr/cgi-bin/cdsbib?1990RMxAA..21..381G" xr:uid="{00000000-0004-0000-0000-000003000000}"/>
    <hyperlink ref="AP2396" r:id="rId5" display="http://cdsbib.u-strasbg.fr/cgi-bin/cdsbib?1990RMxAA..21..381G" xr:uid="{00000000-0004-0000-0000-000004000000}"/>
    <hyperlink ref="AP2374" r:id="rId6" display="http://cdsbib.u-strasbg.fr/cgi-bin/cdsbib?1990RMxAA..21..381G" xr:uid="{00000000-0004-0000-0000-000005000000}"/>
    <hyperlink ref="I64905" r:id="rId7" display="http://vsolj.cetus-net.org/bulletin.html" xr:uid="{00000000-0004-0000-0000-000006000000}"/>
    <hyperlink ref="AQ2508" r:id="rId8" display="http://cdsbib.u-strasbg.fr/cgi-bin/cdsbib?1990RMxAA..21..381G" xr:uid="{00000000-0004-0000-0000-000007000000}"/>
    <hyperlink ref="AQ777" r:id="rId9" display="http://cdsbib.u-strasbg.fr/cgi-bin/cdsbib?1990RMxAA..21..381G" xr:uid="{00000000-0004-0000-0000-000008000000}"/>
    <hyperlink ref="AQ2509" r:id="rId10" display="http://cdsbib.u-strasbg.fr/cgi-bin/cdsbib?1990RMxAA..21..381G" xr:uid="{00000000-0004-0000-0000-000009000000}"/>
    <hyperlink ref="H64902" r:id="rId11" display="https://www.aavso.org/ejaavso" xr:uid="{00000000-0004-0000-0000-00000A000000}"/>
    <hyperlink ref="H64939" r:id="rId12" display="http://vsolj.cetus-net.org/bulletin.html" xr:uid="{00000000-0004-0000-0000-00000B000000}"/>
    <hyperlink ref="H64932" r:id="rId13" display="https://www.aavso.org/ejaavso" xr:uid="{00000000-0004-0000-0000-00000C000000}"/>
    <hyperlink ref="I64939" r:id="rId14" display="http://vsolj.cetus-net.org/bulletin.html" xr:uid="{00000000-0004-0000-0000-00000D000000}"/>
    <hyperlink ref="AQ58589" r:id="rId15" display="http://cdsbib.u-strasbg.fr/cgi-bin/cdsbib?1990RMxAA..21..381G" xr:uid="{00000000-0004-0000-0000-00000E000000}"/>
    <hyperlink ref="H64936" r:id="rId16" display="https://www.aavso.org/ejaavso" xr:uid="{00000000-0004-0000-0000-00000F000000}"/>
    <hyperlink ref="AP5953" r:id="rId17" display="http://cdsbib.u-strasbg.fr/cgi-bin/cdsbib?1990RMxAA..21..381G" xr:uid="{00000000-0004-0000-0000-000010000000}"/>
    <hyperlink ref="AP5956" r:id="rId18" display="http://cdsbib.u-strasbg.fr/cgi-bin/cdsbib?1990RMxAA..21..381G" xr:uid="{00000000-0004-0000-0000-000011000000}"/>
    <hyperlink ref="AP5954" r:id="rId19" display="http://cdsbib.u-strasbg.fr/cgi-bin/cdsbib?1990RMxAA..21..381G" xr:uid="{00000000-0004-0000-0000-000012000000}"/>
    <hyperlink ref="AP5938" r:id="rId20" display="http://cdsbib.u-strasbg.fr/cgi-bin/cdsbib?1990RMxAA..21..381G" xr:uid="{00000000-0004-0000-0000-000013000000}"/>
    <hyperlink ref="AQ6167" r:id="rId21" display="http://cdsbib.u-strasbg.fr/cgi-bin/cdsbib?1990RMxAA..21..381G" xr:uid="{00000000-0004-0000-0000-000014000000}"/>
    <hyperlink ref="AQ6171" r:id="rId22" display="http://cdsbib.u-strasbg.fr/cgi-bin/cdsbib?1990RMxAA..21..381G" xr:uid="{00000000-0004-0000-0000-000015000000}"/>
    <hyperlink ref="AQ676" r:id="rId23" display="http://cdsbib.u-strasbg.fr/cgi-bin/cdsbib?1990RMxAA..21..381G" xr:uid="{00000000-0004-0000-0000-000016000000}"/>
    <hyperlink ref="I4813" r:id="rId24" display="http://vsolj.cetus-net.org/bulletin.html" xr:uid="{00000000-0004-0000-0000-000017000000}"/>
    <hyperlink ref="H4813" r:id="rId25" display="http://vsolj.cetus-net.org/bulletin.html" xr:uid="{00000000-0004-0000-0000-000018000000}"/>
    <hyperlink ref="AQ2239" r:id="rId26" display="http://cdsbib.u-strasbg.fr/cgi-bin/cdsbib?1990RMxAA..21..381G" xr:uid="{00000000-0004-0000-0000-000019000000}"/>
    <hyperlink ref="AQ2238" r:id="rId27" display="http://cdsbib.u-strasbg.fr/cgi-bin/cdsbib?1990RMxAA..21..381G" xr:uid="{00000000-0004-0000-0000-00001A000000}"/>
    <hyperlink ref="AP1993" r:id="rId28" display="http://cdsbib.u-strasbg.fr/cgi-bin/cdsbib?1990RMxAA..21..381G" xr:uid="{00000000-0004-0000-0000-00001B000000}"/>
    <hyperlink ref="AP2019" r:id="rId29" display="http://cdsbib.u-strasbg.fr/cgi-bin/cdsbib?1990RMxAA..21..381G" xr:uid="{00000000-0004-0000-0000-00001C000000}"/>
    <hyperlink ref="AP2020" r:id="rId30" display="http://cdsbib.u-strasbg.fr/cgi-bin/cdsbib?1990RMxAA..21..381G" xr:uid="{00000000-0004-0000-0000-00001D000000}"/>
    <hyperlink ref="AP2016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779"/>
  <sheetViews>
    <sheetView workbookViewId="0">
      <selection activeCell="A49" sqref="A49"/>
    </sheetView>
  </sheetViews>
  <sheetFormatPr defaultRowHeight="12.75" x14ac:dyDescent="0.2"/>
  <cols>
    <col min="1" max="1" width="16.28515625" style="10" customWidth="1"/>
    <col min="2" max="2" width="4.42578125" style="12" customWidth="1"/>
    <col min="3" max="3" width="12.7109375" style="10" customWidth="1"/>
    <col min="4" max="4" width="3.5703125" style="12" customWidth="1"/>
    <col min="5" max="5" width="12.42578125" style="12" customWidth="1"/>
    <col min="6" max="6" width="5.42578125" style="12" customWidth="1"/>
    <col min="7" max="7" width="12" style="12" customWidth="1"/>
    <col min="8" max="8" width="7.28515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7" t="s">
        <v>49</v>
      </c>
      <c r="I1" s="38" t="s">
        <v>50</v>
      </c>
      <c r="J1" s="39" t="s">
        <v>51</v>
      </c>
    </row>
    <row r="2" spans="1:16" x14ac:dyDescent="0.2">
      <c r="I2" s="40" t="s">
        <v>52</v>
      </c>
      <c r="J2" s="41" t="s">
        <v>53</v>
      </c>
    </row>
    <row r="3" spans="1:16" x14ac:dyDescent="0.2">
      <c r="A3" s="42" t="s">
        <v>54</v>
      </c>
      <c r="I3" s="40" t="s">
        <v>55</v>
      </c>
      <c r="J3" s="41" t="s">
        <v>56</v>
      </c>
    </row>
    <row r="4" spans="1:16" x14ac:dyDescent="0.2">
      <c r="I4" s="40" t="s">
        <v>57</v>
      </c>
      <c r="J4" s="41" t="s">
        <v>56</v>
      </c>
    </row>
    <row r="5" spans="1:16" ht="13.5" thickBot="1" x14ac:dyDescent="0.25">
      <c r="I5" s="43" t="s">
        <v>58</v>
      </c>
      <c r="J5" s="44" t="s">
        <v>59</v>
      </c>
    </row>
    <row r="10" spans="1:16" ht="13.5" thickBot="1" x14ac:dyDescent="0.25"/>
    <row r="11" spans="1:16" ht="12.75" customHeight="1" thickBot="1" x14ac:dyDescent="0.25">
      <c r="A11" s="10" t="str">
        <f t="shared" ref="A11:A25" si="0">P11</f>
        <v>BAVM 214 </v>
      </c>
      <c r="B11" s="3" t="str">
        <f t="shared" ref="B11:B25" si="1">IF(H11=INT(H11),"I","II")</f>
        <v>I</v>
      </c>
      <c r="C11" s="10">
        <f t="shared" ref="C11:C25" si="2">1*G11</f>
        <v>55124.412199999999</v>
      </c>
      <c r="D11" s="12" t="str">
        <f t="shared" ref="D11:D25" si="3">VLOOKUP(F11,I$1:J$5,2,FALSE)</f>
        <v>vis</v>
      </c>
      <c r="E11" s="45">
        <f>VLOOKUP(C11,Active!C$21:E$973,3,FALSE)</f>
        <v>9055.8199436092436</v>
      </c>
      <c r="F11" s="3" t="s">
        <v>58</v>
      </c>
      <c r="G11" s="12" t="str">
        <f t="shared" ref="G11:G25" si="4">MID(I11,3,LEN(I11)-3)</f>
        <v>55124.4122</v>
      </c>
      <c r="H11" s="10">
        <f t="shared" ref="H11:H25" si="5">1*K11</f>
        <v>9056</v>
      </c>
      <c r="I11" s="46" t="s">
        <v>60</v>
      </c>
      <c r="J11" s="47" t="s">
        <v>61</v>
      </c>
      <c r="K11" s="46">
        <v>9056</v>
      </c>
      <c r="L11" s="46" t="s">
        <v>62</v>
      </c>
      <c r="M11" s="47" t="s">
        <v>63</v>
      </c>
      <c r="N11" s="47" t="s">
        <v>64</v>
      </c>
      <c r="O11" s="48" t="s">
        <v>65</v>
      </c>
      <c r="P11" s="49" t="s">
        <v>66</v>
      </c>
    </row>
    <row r="12" spans="1:16" ht="12.75" customHeight="1" thickBot="1" x14ac:dyDescent="0.25">
      <c r="A12" s="10" t="str">
        <f t="shared" si="0"/>
        <v>BAVM 214 </v>
      </c>
      <c r="B12" s="3" t="str">
        <f t="shared" si="1"/>
        <v>II</v>
      </c>
      <c r="C12" s="10">
        <f t="shared" si="2"/>
        <v>55124.606099999997</v>
      </c>
      <c r="D12" s="12" t="str">
        <f t="shared" si="3"/>
        <v>vis</v>
      </c>
      <c r="E12" s="45">
        <f>VLOOKUP(C12,Active!C$21:E$973,3,FALSE)</f>
        <v>9056.2974180918118</v>
      </c>
      <c r="F12" s="3" t="s">
        <v>58</v>
      </c>
      <c r="G12" s="12" t="str">
        <f t="shared" si="4"/>
        <v>55124.6061</v>
      </c>
      <c r="H12" s="10">
        <f t="shared" si="5"/>
        <v>9056.5</v>
      </c>
      <c r="I12" s="46" t="s">
        <v>67</v>
      </c>
      <c r="J12" s="47" t="s">
        <v>68</v>
      </c>
      <c r="K12" s="46" t="s">
        <v>69</v>
      </c>
      <c r="L12" s="46" t="s">
        <v>70</v>
      </c>
      <c r="M12" s="47" t="s">
        <v>63</v>
      </c>
      <c r="N12" s="47" t="s">
        <v>64</v>
      </c>
      <c r="O12" s="48" t="s">
        <v>65</v>
      </c>
      <c r="P12" s="49" t="s">
        <v>66</v>
      </c>
    </row>
    <row r="13" spans="1:16" ht="12.75" customHeight="1" thickBot="1" x14ac:dyDescent="0.25">
      <c r="A13" s="10" t="str">
        <f t="shared" si="0"/>
        <v>BAVM 214 </v>
      </c>
      <c r="B13" s="3" t="str">
        <f t="shared" si="1"/>
        <v>II</v>
      </c>
      <c r="C13" s="10">
        <f t="shared" si="2"/>
        <v>55125.419800000003</v>
      </c>
      <c r="D13" s="12" t="str">
        <f t="shared" si="3"/>
        <v>vis</v>
      </c>
      <c r="E13" s="45">
        <f>VLOOKUP(C13,Active!C$21:E$973,3,FALSE)</f>
        <v>9058.3011364335944</v>
      </c>
      <c r="F13" s="3" t="s">
        <v>58</v>
      </c>
      <c r="G13" s="12" t="str">
        <f t="shared" si="4"/>
        <v>55125.4198</v>
      </c>
      <c r="H13" s="10">
        <f t="shared" si="5"/>
        <v>9058.5</v>
      </c>
      <c r="I13" s="46" t="s">
        <v>71</v>
      </c>
      <c r="J13" s="47" t="s">
        <v>72</v>
      </c>
      <c r="K13" s="46" t="s">
        <v>73</v>
      </c>
      <c r="L13" s="46" t="s">
        <v>74</v>
      </c>
      <c r="M13" s="47" t="s">
        <v>63</v>
      </c>
      <c r="N13" s="47" t="s">
        <v>64</v>
      </c>
      <c r="O13" s="48" t="s">
        <v>65</v>
      </c>
      <c r="P13" s="49" t="s">
        <v>66</v>
      </c>
    </row>
    <row r="14" spans="1:16" ht="12.75" customHeight="1" thickBot="1" x14ac:dyDescent="0.25">
      <c r="A14" s="10" t="str">
        <f t="shared" si="0"/>
        <v>IBVS 5960 </v>
      </c>
      <c r="B14" s="3" t="str">
        <f t="shared" si="1"/>
        <v>I</v>
      </c>
      <c r="C14" s="10">
        <f t="shared" si="2"/>
        <v>55503.708599999998</v>
      </c>
      <c r="D14" s="12" t="str">
        <f t="shared" si="3"/>
        <v>vis</v>
      </c>
      <c r="E14" s="45">
        <f>VLOOKUP(C14,Active!C$21:E$973,3,FALSE)</f>
        <v>9989.8289809034723</v>
      </c>
      <c r="F14" s="3" t="s">
        <v>58</v>
      </c>
      <c r="G14" s="12" t="str">
        <f t="shared" si="4"/>
        <v>55503.7086</v>
      </c>
      <c r="H14" s="10">
        <f t="shared" si="5"/>
        <v>9990</v>
      </c>
      <c r="I14" s="46" t="s">
        <v>75</v>
      </c>
      <c r="J14" s="47" t="s">
        <v>76</v>
      </c>
      <c r="K14" s="46" t="s">
        <v>77</v>
      </c>
      <c r="L14" s="46" t="s">
        <v>78</v>
      </c>
      <c r="M14" s="47" t="s">
        <v>63</v>
      </c>
      <c r="N14" s="47" t="s">
        <v>58</v>
      </c>
      <c r="O14" s="48" t="s">
        <v>79</v>
      </c>
      <c r="P14" s="49" t="s">
        <v>80</v>
      </c>
    </row>
    <row r="15" spans="1:16" ht="12.75" customHeight="1" thickBot="1" x14ac:dyDescent="0.25">
      <c r="A15" s="10" t="str">
        <f t="shared" si="0"/>
        <v>OEJV 0160 </v>
      </c>
      <c r="B15" s="3" t="str">
        <f t="shared" si="1"/>
        <v>I</v>
      </c>
      <c r="C15" s="10">
        <f t="shared" si="2"/>
        <v>55803.419139999998</v>
      </c>
      <c r="D15" s="12" t="str">
        <f t="shared" si="3"/>
        <v>vis</v>
      </c>
      <c r="E15" s="45">
        <f>VLOOKUP(C15,Active!C$21:E$973,3,FALSE)</f>
        <v>10727.859589504907</v>
      </c>
      <c r="F15" s="3" t="s">
        <v>58</v>
      </c>
      <c r="G15" s="12" t="str">
        <f t="shared" si="4"/>
        <v>55803.41914</v>
      </c>
      <c r="H15" s="10">
        <f t="shared" si="5"/>
        <v>10728</v>
      </c>
      <c r="I15" s="46" t="s">
        <v>81</v>
      </c>
      <c r="J15" s="47" t="s">
        <v>82</v>
      </c>
      <c r="K15" s="46" t="s">
        <v>83</v>
      </c>
      <c r="L15" s="46" t="s">
        <v>84</v>
      </c>
      <c r="M15" s="47" t="s">
        <v>63</v>
      </c>
      <c r="N15" s="47" t="s">
        <v>85</v>
      </c>
      <c r="O15" s="48" t="s">
        <v>86</v>
      </c>
      <c r="P15" s="49" t="s">
        <v>87</v>
      </c>
    </row>
    <row r="16" spans="1:16" ht="12.75" customHeight="1" thickBot="1" x14ac:dyDescent="0.25">
      <c r="A16" s="10" t="str">
        <f t="shared" si="0"/>
        <v>OEJV 0160 </v>
      </c>
      <c r="B16" s="3" t="str">
        <f t="shared" si="1"/>
        <v>I</v>
      </c>
      <c r="C16" s="10">
        <f t="shared" si="2"/>
        <v>55803.419220000003</v>
      </c>
      <c r="D16" s="12" t="str">
        <f t="shared" si="3"/>
        <v>vis</v>
      </c>
      <c r="E16" s="45">
        <f>VLOOKUP(C16,Active!C$21:E$973,3,FALSE)</f>
        <v>10727.859786503161</v>
      </c>
      <c r="F16" s="3" t="s">
        <v>58</v>
      </c>
      <c r="G16" s="12" t="str">
        <f t="shared" si="4"/>
        <v>55803.41922</v>
      </c>
      <c r="H16" s="10">
        <f t="shared" si="5"/>
        <v>10728</v>
      </c>
      <c r="I16" s="46" t="s">
        <v>88</v>
      </c>
      <c r="J16" s="47" t="s">
        <v>82</v>
      </c>
      <c r="K16" s="46" t="s">
        <v>83</v>
      </c>
      <c r="L16" s="46" t="s">
        <v>89</v>
      </c>
      <c r="M16" s="47" t="s">
        <v>63</v>
      </c>
      <c r="N16" s="47" t="s">
        <v>40</v>
      </c>
      <c r="O16" s="48" t="s">
        <v>86</v>
      </c>
      <c r="P16" s="49" t="s">
        <v>87</v>
      </c>
    </row>
    <row r="17" spans="1:16" ht="12.75" customHeight="1" thickBot="1" x14ac:dyDescent="0.25">
      <c r="A17" s="10" t="str">
        <f t="shared" si="0"/>
        <v>OEJV 0160 </v>
      </c>
      <c r="B17" s="3" t="str">
        <f t="shared" si="1"/>
        <v>I</v>
      </c>
      <c r="C17" s="10">
        <f t="shared" si="2"/>
        <v>55803.419840000002</v>
      </c>
      <c r="D17" s="12" t="str">
        <f t="shared" si="3"/>
        <v>vis</v>
      </c>
      <c r="E17" s="45">
        <f>VLOOKUP(C17,Active!C$21:E$973,3,FALSE)</f>
        <v>10727.861313239511</v>
      </c>
      <c r="F17" s="3" t="s">
        <v>58</v>
      </c>
      <c r="G17" s="12" t="str">
        <f t="shared" si="4"/>
        <v>55803.41984</v>
      </c>
      <c r="H17" s="10">
        <f t="shared" si="5"/>
        <v>10728</v>
      </c>
      <c r="I17" s="46" t="s">
        <v>90</v>
      </c>
      <c r="J17" s="47" t="s">
        <v>91</v>
      </c>
      <c r="K17" s="46" t="s">
        <v>83</v>
      </c>
      <c r="L17" s="46" t="s">
        <v>92</v>
      </c>
      <c r="M17" s="47" t="s">
        <v>63</v>
      </c>
      <c r="N17" s="47" t="s">
        <v>40</v>
      </c>
      <c r="O17" s="48" t="s">
        <v>86</v>
      </c>
      <c r="P17" s="49" t="s">
        <v>87</v>
      </c>
    </row>
    <row r="18" spans="1:16" ht="12.75" customHeight="1" thickBot="1" x14ac:dyDescent="0.25">
      <c r="A18" s="10" t="str">
        <f t="shared" si="0"/>
        <v>OEJV 0160 </v>
      </c>
      <c r="B18" s="3" t="str">
        <f t="shared" si="1"/>
        <v>I</v>
      </c>
      <c r="C18" s="10">
        <f t="shared" si="2"/>
        <v>55803.41994</v>
      </c>
      <c r="D18" s="12" t="str">
        <f t="shared" si="3"/>
        <v>vis</v>
      </c>
      <c r="E18" s="45">
        <f>VLOOKUP(C18,Active!C$21:E$973,3,FALSE)</f>
        <v>10727.861559487304</v>
      </c>
      <c r="F18" s="3" t="s">
        <v>58</v>
      </c>
      <c r="G18" s="12" t="str">
        <f t="shared" si="4"/>
        <v>55803.41994</v>
      </c>
      <c r="H18" s="10">
        <f t="shared" si="5"/>
        <v>10728</v>
      </c>
      <c r="I18" s="46" t="s">
        <v>93</v>
      </c>
      <c r="J18" s="47" t="s">
        <v>91</v>
      </c>
      <c r="K18" s="46" t="s">
        <v>83</v>
      </c>
      <c r="L18" s="46" t="s">
        <v>94</v>
      </c>
      <c r="M18" s="47" t="s">
        <v>63</v>
      </c>
      <c r="N18" s="47" t="s">
        <v>85</v>
      </c>
      <c r="O18" s="48" t="s">
        <v>86</v>
      </c>
      <c r="P18" s="49" t="s">
        <v>87</v>
      </c>
    </row>
    <row r="19" spans="1:16" ht="12.75" customHeight="1" thickBot="1" x14ac:dyDescent="0.25">
      <c r="A19" s="10" t="str">
        <f t="shared" si="0"/>
        <v>OEJV 0160 </v>
      </c>
      <c r="B19" s="3" t="str">
        <f t="shared" si="1"/>
        <v>I</v>
      </c>
      <c r="C19" s="10">
        <f t="shared" si="2"/>
        <v>55805.449529999998</v>
      </c>
      <c r="D19" s="12" t="str">
        <f t="shared" si="3"/>
        <v>vis</v>
      </c>
      <c r="E19" s="45">
        <f>VLOOKUP(C19,Active!C$21:E$973,3,FALSE)</f>
        <v>10732.859380194279</v>
      </c>
      <c r="F19" s="3" t="s">
        <v>58</v>
      </c>
      <c r="G19" s="12" t="str">
        <f t="shared" si="4"/>
        <v>55805.44953</v>
      </c>
      <c r="H19" s="10">
        <f t="shared" si="5"/>
        <v>10733</v>
      </c>
      <c r="I19" s="46" t="s">
        <v>95</v>
      </c>
      <c r="J19" s="47" t="s">
        <v>96</v>
      </c>
      <c r="K19" s="46" t="s">
        <v>97</v>
      </c>
      <c r="L19" s="46" t="s">
        <v>98</v>
      </c>
      <c r="M19" s="47" t="s">
        <v>63</v>
      </c>
      <c r="N19" s="47" t="s">
        <v>85</v>
      </c>
      <c r="O19" s="48" t="s">
        <v>86</v>
      </c>
      <c r="P19" s="49" t="s">
        <v>87</v>
      </c>
    </row>
    <row r="20" spans="1:16" ht="12.75" customHeight="1" thickBot="1" x14ac:dyDescent="0.25">
      <c r="A20" s="10" t="str">
        <f t="shared" si="0"/>
        <v>OEJV 0160 </v>
      </c>
      <c r="B20" s="3" t="str">
        <f t="shared" si="1"/>
        <v>I</v>
      </c>
      <c r="C20" s="10">
        <f t="shared" si="2"/>
        <v>55805.449630000003</v>
      </c>
      <c r="D20" s="12" t="str">
        <f t="shared" si="3"/>
        <v>vis</v>
      </c>
      <c r="E20" s="45">
        <f>VLOOKUP(C20,Active!C$21:E$973,3,FALSE)</f>
        <v>10732.859626442088</v>
      </c>
      <c r="F20" s="3" t="s">
        <v>58</v>
      </c>
      <c r="G20" s="12" t="str">
        <f t="shared" si="4"/>
        <v>55805.44963</v>
      </c>
      <c r="H20" s="10">
        <f t="shared" si="5"/>
        <v>10733</v>
      </c>
      <c r="I20" s="46" t="s">
        <v>99</v>
      </c>
      <c r="J20" s="47" t="s">
        <v>96</v>
      </c>
      <c r="K20" s="46" t="s">
        <v>97</v>
      </c>
      <c r="L20" s="46" t="s">
        <v>100</v>
      </c>
      <c r="M20" s="47" t="s">
        <v>63</v>
      </c>
      <c r="N20" s="47" t="s">
        <v>40</v>
      </c>
      <c r="O20" s="48" t="s">
        <v>86</v>
      </c>
      <c r="P20" s="49" t="s">
        <v>87</v>
      </c>
    </row>
    <row r="21" spans="1:16" ht="12.75" customHeight="1" thickBot="1" x14ac:dyDescent="0.25">
      <c r="A21" s="10" t="str">
        <f t="shared" si="0"/>
        <v>BAVM 225 </v>
      </c>
      <c r="B21" s="3" t="str">
        <f t="shared" si="1"/>
        <v>I</v>
      </c>
      <c r="C21" s="10">
        <f t="shared" si="2"/>
        <v>55830.625999999997</v>
      </c>
      <c r="D21" s="12" t="str">
        <f t="shared" si="3"/>
        <v>vis</v>
      </c>
      <c r="E21" s="45">
        <f>VLOOKUP(C21,Active!C$21:E$973,3,FALSE)</f>
        <v>10794.855883475526</v>
      </c>
      <c r="F21" s="3" t="s">
        <v>58</v>
      </c>
      <c r="G21" s="12" t="str">
        <f t="shared" si="4"/>
        <v>55830.6260</v>
      </c>
      <c r="H21" s="10">
        <f t="shared" si="5"/>
        <v>10795</v>
      </c>
      <c r="I21" s="46" t="s">
        <v>101</v>
      </c>
      <c r="J21" s="47" t="s">
        <v>102</v>
      </c>
      <c r="K21" s="46" t="s">
        <v>103</v>
      </c>
      <c r="L21" s="46" t="s">
        <v>104</v>
      </c>
      <c r="M21" s="47" t="s">
        <v>63</v>
      </c>
      <c r="N21" s="47" t="s">
        <v>105</v>
      </c>
      <c r="O21" s="48" t="s">
        <v>106</v>
      </c>
      <c r="P21" s="49" t="s">
        <v>107</v>
      </c>
    </row>
    <row r="22" spans="1:16" ht="12.75" customHeight="1" thickBot="1" x14ac:dyDescent="0.25">
      <c r="A22" s="10" t="str">
        <f t="shared" si="0"/>
        <v>BAVM 225 </v>
      </c>
      <c r="B22" s="3" t="str">
        <f t="shared" si="1"/>
        <v>II</v>
      </c>
      <c r="C22" s="10">
        <f t="shared" si="2"/>
        <v>55832.450900000003</v>
      </c>
      <c r="D22" s="12" t="str">
        <f t="shared" si="3"/>
        <v>vis</v>
      </c>
      <c r="E22" s="45">
        <f>VLOOKUP(C22,Active!C$21:E$973,3,FALSE)</f>
        <v>10799.34965956242</v>
      </c>
      <c r="F22" s="3" t="s">
        <v>58</v>
      </c>
      <c r="G22" s="12" t="str">
        <f t="shared" si="4"/>
        <v>55832.4509</v>
      </c>
      <c r="H22" s="10">
        <f t="shared" si="5"/>
        <v>10799.5</v>
      </c>
      <c r="I22" s="46" t="s">
        <v>108</v>
      </c>
      <c r="J22" s="47" t="s">
        <v>109</v>
      </c>
      <c r="K22" s="46" t="s">
        <v>110</v>
      </c>
      <c r="L22" s="46" t="s">
        <v>111</v>
      </c>
      <c r="M22" s="47" t="s">
        <v>63</v>
      </c>
      <c r="N22" s="47" t="s">
        <v>105</v>
      </c>
      <c r="O22" s="48" t="s">
        <v>106</v>
      </c>
      <c r="P22" s="49" t="s">
        <v>107</v>
      </c>
    </row>
    <row r="23" spans="1:16" ht="12.75" customHeight="1" thickBot="1" x14ac:dyDescent="0.25">
      <c r="A23" s="10" t="str">
        <f t="shared" si="0"/>
        <v>BAVM 225 </v>
      </c>
      <c r="B23" s="3" t="str">
        <f t="shared" si="1"/>
        <v>I</v>
      </c>
      <c r="C23" s="10">
        <f t="shared" si="2"/>
        <v>55832.655400000003</v>
      </c>
      <c r="D23" s="12" t="str">
        <f t="shared" si="3"/>
        <v>vis</v>
      </c>
      <c r="E23" s="45">
        <f>VLOOKUP(C23,Active!C$21:E$973,3,FALSE)</f>
        <v>10799.853236311703</v>
      </c>
      <c r="F23" s="3" t="s">
        <v>58</v>
      </c>
      <c r="G23" s="12" t="str">
        <f t="shared" si="4"/>
        <v>55832.6554</v>
      </c>
      <c r="H23" s="10">
        <f t="shared" si="5"/>
        <v>10800</v>
      </c>
      <c r="I23" s="46" t="s">
        <v>112</v>
      </c>
      <c r="J23" s="47" t="s">
        <v>113</v>
      </c>
      <c r="K23" s="46" t="s">
        <v>114</v>
      </c>
      <c r="L23" s="46" t="s">
        <v>115</v>
      </c>
      <c r="M23" s="47" t="s">
        <v>63</v>
      </c>
      <c r="N23" s="47" t="s">
        <v>105</v>
      </c>
      <c r="O23" s="48" t="s">
        <v>106</v>
      </c>
      <c r="P23" s="49" t="s">
        <v>107</v>
      </c>
    </row>
    <row r="24" spans="1:16" ht="12.75" customHeight="1" thickBot="1" x14ac:dyDescent="0.25">
      <c r="A24" s="10" t="str">
        <f t="shared" si="0"/>
        <v>IBVS 6018 </v>
      </c>
      <c r="B24" s="3" t="str">
        <f t="shared" si="1"/>
        <v>I</v>
      </c>
      <c r="C24" s="10">
        <f t="shared" si="2"/>
        <v>55847.6803</v>
      </c>
      <c r="D24" s="12" t="str">
        <f t="shared" si="3"/>
        <v>vis</v>
      </c>
      <c r="E24" s="45">
        <f>VLOOKUP(C24,Active!C$21:E$973,3,FALSE)</f>
        <v>10836.85172188773</v>
      </c>
      <c r="F24" s="3" t="s">
        <v>58</v>
      </c>
      <c r="G24" s="12" t="str">
        <f t="shared" si="4"/>
        <v>55847.6803</v>
      </c>
      <c r="H24" s="10">
        <f t="shared" si="5"/>
        <v>10837</v>
      </c>
      <c r="I24" s="46" t="s">
        <v>116</v>
      </c>
      <c r="J24" s="47" t="s">
        <v>117</v>
      </c>
      <c r="K24" s="46" t="s">
        <v>118</v>
      </c>
      <c r="L24" s="46" t="s">
        <v>119</v>
      </c>
      <c r="M24" s="47" t="s">
        <v>63</v>
      </c>
      <c r="N24" s="47" t="s">
        <v>50</v>
      </c>
      <c r="O24" s="48" t="s">
        <v>120</v>
      </c>
      <c r="P24" s="49" t="s">
        <v>121</v>
      </c>
    </row>
    <row r="25" spans="1:16" ht="12.75" customHeight="1" thickBot="1" x14ac:dyDescent="0.25">
      <c r="A25" s="10" t="str">
        <f t="shared" si="0"/>
        <v>IBVS 6011 </v>
      </c>
      <c r="B25" s="3" t="str">
        <f t="shared" si="1"/>
        <v>I</v>
      </c>
      <c r="C25" s="10">
        <f t="shared" si="2"/>
        <v>55875.702299999997</v>
      </c>
      <c r="D25" s="12" t="str">
        <f t="shared" si="3"/>
        <v>vis</v>
      </c>
      <c r="E25" s="45">
        <f>VLOOKUP(C25,Active!C$21:E$973,3,FALSE)</f>
        <v>10905.85528016842</v>
      </c>
      <c r="F25" s="3" t="s">
        <v>58</v>
      </c>
      <c r="G25" s="12" t="str">
        <f t="shared" si="4"/>
        <v>55875.7023</v>
      </c>
      <c r="H25" s="10">
        <f t="shared" si="5"/>
        <v>10906</v>
      </c>
      <c r="I25" s="46" t="s">
        <v>122</v>
      </c>
      <c r="J25" s="47" t="s">
        <v>123</v>
      </c>
      <c r="K25" s="46" t="s">
        <v>124</v>
      </c>
      <c r="L25" s="46" t="s">
        <v>125</v>
      </c>
      <c r="M25" s="47" t="s">
        <v>63</v>
      </c>
      <c r="N25" s="47" t="s">
        <v>58</v>
      </c>
      <c r="O25" s="48" t="s">
        <v>79</v>
      </c>
      <c r="P25" s="49" t="s">
        <v>126</v>
      </c>
    </row>
    <row r="26" spans="1:16" x14ac:dyDescent="0.2">
      <c r="B26" s="3"/>
      <c r="F26" s="3"/>
    </row>
    <row r="27" spans="1:16" x14ac:dyDescent="0.2">
      <c r="B27" s="3"/>
      <c r="F27" s="3"/>
    </row>
    <row r="28" spans="1:16" x14ac:dyDescent="0.2">
      <c r="B28" s="3"/>
      <c r="F28" s="3"/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</sheetData>
  <phoneticPr fontId="8" type="noConversion"/>
  <hyperlinks>
    <hyperlink ref="A3" r:id="rId1" xr:uid="{00000000-0004-0000-0100-000000000000}"/>
    <hyperlink ref="P11" r:id="rId2" display="http://www.bav-astro.de/sfs/BAVM_link.php?BAVMnr=214" xr:uid="{00000000-0004-0000-0100-000001000000}"/>
    <hyperlink ref="P12" r:id="rId3" display="http://www.bav-astro.de/sfs/BAVM_link.php?BAVMnr=214" xr:uid="{00000000-0004-0000-0100-000002000000}"/>
    <hyperlink ref="P13" r:id="rId4" display="http://www.bav-astro.de/sfs/BAVM_link.php?BAVMnr=214" xr:uid="{00000000-0004-0000-0100-000003000000}"/>
    <hyperlink ref="P14" r:id="rId5" display="http://www.konkoly.hu/cgi-bin/IBVS?5960" xr:uid="{00000000-0004-0000-0100-000004000000}"/>
    <hyperlink ref="P15" r:id="rId6" display="http://var.astro.cz/oejv/issues/oejv0160.pdf" xr:uid="{00000000-0004-0000-0100-000005000000}"/>
    <hyperlink ref="P16" r:id="rId7" display="http://var.astro.cz/oejv/issues/oejv0160.pdf" xr:uid="{00000000-0004-0000-0100-000006000000}"/>
    <hyperlink ref="P17" r:id="rId8" display="http://var.astro.cz/oejv/issues/oejv0160.pdf" xr:uid="{00000000-0004-0000-0100-000007000000}"/>
    <hyperlink ref="P18" r:id="rId9" display="http://var.astro.cz/oejv/issues/oejv0160.pdf" xr:uid="{00000000-0004-0000-0100-000008000000}"/>
    <hyperlink ref="P19" r:id="rId10" display="http://var.astro.cz/oejv/issues/oejv0160.pdf" xr:uid="{00000000-0004-0000-0100-000009000000}"/>
    <hyperlink ref="P20" r:id="rId11" display="http://var.astro.cz/oejv/issues/oejv0160.pdf" xr:uid="{00000000-0004-0000-0100-00000A000000}"/>
    <hyperlink ref="P21" r:id="rId12" display="http://www.bav-astro.de/sfs/BAVM_link.php?BAVMnr=225" xr:uid="{00000000-0004-0000-0100-00000B000000}"/>
    <hyperlink ref="P22" r:id="rId13" display="http://www.bav-astro.de/sfs/BAVM_link.php?BAVMnr=225" xr:uid="{00000000-0004-0000-0100-00000C000000}"/>
    <hyperlink ref="P23" r:id="rId14" display="http://www.bav-astro.de/sfs/BAVM_link.php?BAVMnr=225" xr:uid="{00000000-0004-0000-0100-00000D000000}"/>
    <hyperlink ref="P24" r:id="rId15" display="http://www.konkoly.hu/cgi-bin/IBVS?6018" xr:uid="{00000000-0004-0000-0100-00000E000000}"/>
    <hyperlink ref="P25" r:id="rId16" display="http://www.konkoly.hu/cgi-bin/IBVS?6011" xr:uid="{00000000-0004-0000-0100-00000F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2024-01-09T23:50:17Z</dcterms:modified>
</cp:coreProperties>
</file>