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0D67877B-7887-47FA-9C1E-8EE1D3D67D5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3" i="1" l="1"/>
  <c r="F23" i="1" s="1"/>
  <c r="G23" i="1" s="1"/>
  <c r="I23" i="1" s="1"/>
  <c r="Q23" i="1"/>
  <c r="E22" i="1"/>
  <c r="F22" i="1" s="1"/>
  <c r="G22" i="1" s="1"/>
  <c r="I22" i="1" s="1"/>
  <c r="F11" i="1"/>
  <c r="E21" i="1"/>
  <c r="F21" i="1" s="1"/>
  <c r="Q22" i="1"/>
  <c r="C21" i="1"/>
  <c r="G11" i="1"/>
  <c r="E15" i="1"/>
  <c r="C17" i="1"/>
  <c r="Q21" i="1"/>
  <c r="G21" i="1" l="1"/>
  <c r="C12" i="1"/>
  <c r="C11" i="1"/>
  <c r="C16" i="1" l="1"/>
  <c r="D18" i="1" s="1"/>
  <c r="H21" i="1"/>
  <c r="O23" i="1"/>
  <c r="O21" i="1"/>
  <c r="O22" i="1"/>
  <c r="C15" i="1"/>
  <c r="C18" i="1" l="1"/>
  <c r="E16" i="1"/>
  <c r="E17" i="1" s="1"/>
</calcChain>
</file>

<file path=xl/sharedStrings.xml><?xml version="1.0" encoding="utf-8"?>
<sst xmlns="http://schemas.openxmlformats.org/spreadsheetml/2006/main" count="48" uniqueCount="46">
  <si>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</si>
  <si>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</si>
  <si>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</si>
  <si>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</si>
  <si>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</si>
  <si>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</si>
  <si>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</si>
  <si>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</si>
  <si>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</si>
  <si>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</si>
  <si>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</si>
  <si>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</si>
  <si>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</si>
  <si>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</si>
  <si>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</si>
  <si>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</si>
  <si>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</si>
  <si>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</si>
  <si>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</si>
  <si>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</si>
  <si>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</si>
  <si>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</si>
  <si>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</si>
  <si>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</si>
  <si>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</si>
  <si>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</si>
  <si>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</si>
  <si>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</si>
  <si>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</si>
  <si>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</si>
  <si>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</si>
  <si>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</si>
  <si>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</si>
  <si>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</si>
  <si>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</si>
  <si>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</si>
  <si>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</si>
  <si>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</si>
  <si>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I</t>
  </si>
  <si>
    <t>J.M. Kreiner, 2004, Acta Astronomica, vol. 54, pp 207-210.</t>
  </si>
  <si>
    <t xml:space="preserve">XY Ant / GSC 7195-2533               </t>
  </si>
  <si>
    <t>Kriemer</t>
  </si>
  <si>
    <t>IBVS 5809</t>
  </si>
  <si>
    <t>EA</t>
  </si>
  <si>
    <t>JBAV, 63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</si>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</sst>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7"/>
      <name val="Arial"/>
      <family val="2"/>
    </font>
    <font>
      <sz val="10"/>
      <color indexed="17"/>
      <name val="Arial"/>
      <family val="2"/>
    </font>
    <font>
      <b/>
      <sz val="10"/>
      <color indexed="8"/>
      <name val="Arial"/>
      <family val="2"/>
    </font>
    <font>
      <sz val="10"/>
      <color rgb="FF00B05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 applyAlignment="1">
      <alignment horizontal="right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3" fillId="0" borderId="0" xfId="0" applyFont="1" applyAlignment="1"/>
    <xf numFmtId="0" fontId="4" fillId="0" borderId="1" xfId="0" applyFont="1" applyBorder="1">
      <alignment vertical="top"/>
    </xf>
    <xf numFmtId="0" fontId="17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5" fillId="0" borderId="0" xfId="0" applyFont="1" applyAlignment="1">
      <alignment horizontal="left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165" fontId="18" fillId="0" borderId="0" xfId="0" applyNumberFormat="1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XY Ant - O-C Diagr.</a:t>
            </a:r>
          </a:p>
        </c:rich>
      </c:tx>
      <c:layout>
        <c:manualLayout>
          <c:xMode val="edge"/>
          <c:yMode val="edge"/>
          <c:x val="0.38947368421052631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87969924812031"/>
          <c:y val="0.14076246334310852"/>
          <c:w val="0.8105263157894736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Kriemer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Active!$D$21:$D$222</c:f>
                <c:numCache>
                  <c:formatCode>General</c:formatCode>
                  <c:ptCount val="202"/>
                  <c:pt idx="1">
                    <c:v>6.9999999999999999E-4</c:v>
                  </c:pt>
                  <c:pt idx="2">
                    <c:v>8.0000000000000002E-3</c:v>
                  </c:pt>
                </c:numCache>
              </c:numRef>
            </c:plus>
            <c:minus>
              <c:numRef>
                <c:f>Active!$D$21:$D$222</c:f>
                <c:numCache>
                  <c:formatCode>General</c:formatCode>
                  <c:ptCount val="202"/>
                  <c:pt idx="1">
                    <c:v>6.9999999999999999E-4</c:v>
                  </c:pt>
                  <c:pt idx="2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379</c:v>
                </c:pt>
                <c:pt idx="2">
                  <c:v>3284</c:v>
                </c:pt>
              </c:numCache>
            </c:numRef>
          </c:xVal>
          <c:yVal>
            <c:numRef>
              <c:f>Active!$H$21:$H$982</c:f>
              <c:numCache>
                <c:formatCode>General</c:formatCode>
                <c:ptCount val="962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8B2-4289-AAB6-C129DD0D2C5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6.9999999999999999E-4</c:v>
                  </c:pt>
                  <c:pt idx="2">
                    <c:v>8.0000000000000002E-3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6.9999999999999999E-4</c:v>
                  </c:pt>
                  <c:pt idx="2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379</c:v>
                </c:pt>
                <c:pt idx="2">
                  <c:v>3284</c:v>
                </c:pt>
              </c:numCache>
            </c:numRef>
          </c:xVal>
          <c:yVal>
            <c:numRef>
              <c:f>Active!$I$21:$I$982</c:f>
              <c:numCache>
                <c:formatCode>General</c:formatCode>
                <c:ptCount val="962"/>
                <c:pt idx="1">
                  <c:v>-1.8550000022514723E-3</c:v>
                </c:pt>
                <c:pt idx="2">
                  <c:v>-6.9799999982933514E-3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8B2-4289-AAB6-C129DD0D2C5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6.9999999999999999E-4</c:v>
                  </c:pt>
                  <c:pt idx="2">
                    <c:v>8.0000000000000002E-3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6.9999999999999999E-4</c:v>
                  </c:pt>
                  <c:pt idx="2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379</c:v>
                </c:pt>
                <c:pt idx="2">
                  <c:v>3284</c:v>
                </c:pt>
              </c:numCache>
            </c:numRef>
          </c:xVal>
          <c:yVal>
            <c:numRef>
              <c:f>Active!$J$21:$J$982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8B2-4289-AAB6-C129DD0D2C5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6.9999999999999999E-4</c:v>
                  </c:pt>
                  <c:pt idx="2">
                    <c:v>8.0000000000000002E-3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6.9999999999999999E-4</c:v>
                  </c:pt>
                  <c:pt idx="2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379</c:v>
                </c:pt>
                <c:pt idx="2">
                  <c:v>3284</c:v>
                </c:pt>
              </c:numCache>
            </c:numRef>
          </c:xVal>
          <c:yVal>
            <c:numRef>
              <c:f>Active!$K$21:$K$982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8B2-4289-AAB6-C129DD0D2C5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6.9999999999999999E-4</c:v>
                  </c:pt>
                  <c:pt idx="2">
                    <c:v>8.0000000000000002E-3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6.9999999999999999E-4</c:v>
                  </c:pt>
                  <c:pt idx="2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379</c:v>
                </c:pt>
                <c:pt idx="2">
                  <c:v>3284</c:v>
                </c:pt>
              </c:numCache>
            </c:numRef>
          </c:xVal>
          <c:yVal>
            <c:numRef>
              <c:f>Active!$L$21:$L$982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8B2-4289-AAB6-C129DD0D2C5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6.9999999999999999E-4</c:v>
                  </c:pt>
                  <c:pt idx="2">
                    <c:v>8.0000000000000002E-3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6.9999999999999999E-4</c:v>
                  </c:pt>
                  <c:pt idx="2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379</c:v>
                </c:pt>
                <c:pt idx="2">
                  <c:v>3284</c:v>
                </c:pt>
              </c:numCache>
            </c:numRef>
          </c:xVal>
          <c:yVal>
            <c:numRef>
              <c:f>Active!$M$21:$M$982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8B2-4289-AAB6-C129DD0D2C5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6.9999999999999999E-4</c:v>
                  </c:pt>
                  <c:pt idx="2">
                    <c:v>8.0000000000000002E-3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6.9999999999999999E-4</c:v>
                  </c:pt>
                  <c:pt idx="2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379</c:v>
                </c:pt>
                <c:pt idx="2">
                  <c:v>3284</c:v>
                </c:pt>
              </c:numCache>
            </c:numRef>
          </c:xVal>
          <c:yVal>
            <c:numRef>
              <c:f>Active!$N$21:$N$982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8B2-4289-AAB6-C129DD0D2C5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379</c:v>
                </c:pt>
                <c:pt idx="2">
                  <c:v>3284</c:v>
                </c:pt>
              </c:numCache>
            </c:numRef>
          </c:xVal>
          <c:yVal>
            <c:numRef>
              <c:f>Active!$O$21:$O$982</c:f>
              <c:numCache>
                <c:formatCode>General</c:formatCode>
                <c:ptCount val="962"/>
                <c:pt idx="0">
                  <c:v>-5.1694250879693671E-4</c:v>
                </c:pt>
                <c:pt idx="1">
                  <c:v>-1.2706147358524571E-3</c:v>
                </c:pt>
                <c:pt idx="2">
                  <c:v>-7.0474427558954306E-3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8B2-4289-AAB6-C129DD0D2C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8415824"/>
        <c:axId val="1"/>
      </c:scatterChart>
      <c:valAx>
        <c:axId val="7084158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68421052631579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84158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360902255639097"/>
          <c:y val="0.92375366568914952"/>
          <c:w val="0.67067669172932332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17</xdr:col>
      <xdr:colOff>114300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BD6C25A7-2035-FDE3-E7A4-7680236009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923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12" sqref="E12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5703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40</v>
      </c>
    </row>
    <row r="2" spans="1:7" x14ac:dyDescent="0.2">
      <c r="A2" t="s">
        <v>24</v>
      </c>
      <c r="B2" t="s">
        <v>43</v>
      </c>
      <c r="C2" s="3"/>
      <c r="D2" s="3"/>
    </row>
    <row r="3" spans="1:7" ht="13.5" thickBot="1" x14ac:dyDescent="0.25"/>
    <row r="4" spans="1:7" ht="14.25" thickTop="1" thickBot="1" x14ac:dyDescent="0.25">
      <c r="A4" s="5" t="s">
        <v>0</v>
      </c>
      <c r="C4" s="8">
        <v>52501.3</v>
      </c>
      <c r="D4" s="9">
        <v>2.180345</v>
      </c>
    </row>
    <row r="5" spans="1:7" x14ac:dyDescent="0.2">
      <c r="C5" s="31" t="s">
        <v>39</v>
      </c>
    </row>
    <row r="6" spans="1:7" x14ac:dyDescent="0.2">
      <c r="A6" s="5" t="s">
        <v>1</v>
      </c>
    </row>
    <row r="7" spans="1:7" x14ac:dyDescent="0.2">
      <c r="A7" t="s">
        <v>2</v>
      </c>
      <c r="C7">
        <v>52501.3</v>
      </c>
    </row>
    <row r="8" spans="1:7" x14ac:dyDescent="0.2">
      <c r="A8" t="s">
        <v>3</v>
      </c>
      <c r="C8">
        <v>2.180345</v>
      </c>
      <c r="D8" s="30"/>
    </row>
    <row r="9" spans="1:7" x14ac:dyDescent="0.2">
      <c r="A9" s="11" t="s">
        <v>31</v>
      </c>
      <c r="B9" s="12"/>
      <c r="C9" s="13">
        <v>-9.5</v>
      </c>
      <c r="D9" s="12" t="s">
        <v>32</v>
      </c>
      <c r="E9" s="12"/>
    </row>
    <row r="10" spans="1:7" ht="13.5" thickBot="1" x14ac:dyDescent="0.25">
      <c r="A10" s="12"/>
      <c r="B10" s="12"/>
      <c r="C10" s="4" t="s">
        <v>20</v>
      </c>
      <c r="D10" s="4" t="s">
        <v>21</v>
      </c>
      <c r="E10" s="12"/>
    </row>
    <row r="11" spans="1:7" x14ac:dyDescent="0.2">
      <c r="A11" s="12" t="s">
        <v>15</v>
      </c>
      <c r="B11" s="12"/>
      <c r="C11" s="24">
        <f ca="1">INTERCEPT(INDIRECT($G$11):G975,INDIRECT($F$11):F975)</f>
        <v>-5.1694250879693671E-4</v>
      </c>
      <c r="D11" s="3"/>
      <c r="E11" s="12"/>
      <c r="F11" s="25" t="str">
        <f>"F"&amp;E19</f>
        <v>F21</v>
      </c>
      <c r="G11" s="26" t="str">
        <f>"G"&amp;E19</f>
        <v>G21</v>
      </c>
    </row>
    <row r="12" spans="1:7" x14ac:dyDescent="0.2">
      <c r="A12" s="12" t="s">
        <v>16</v>
      </c>
      <c r="B12" s="12"/>
      <c r="C12" s="24">
        <f ca="1">SLOPE(INDIRECT($G$11):G975,INDIRECT($F$11):F975)</f>
        <v>-1.9885810740251197E-6</v>
      </c>
      <c r="D12" s="3"/>
      <c r="E12" s="12"/>
    </row>
    <row r="13" spans="1:7" x14ac:dyDescent="0.2">
      <c r="A13" s="12" t="s">
        <v>19</v>
      </c>
      <c r="B13" s="12"/>
      <c r="C13" s="3" t="s">
        <v>13</v>
      </c>
      <c r="D13" s="3"/>
      <c r="E13" s="12"/>
    </row>
    <row r="14" spans="1:7" x14ac:dyDescent="0.2">
      <c r="A14" s="12"/>
      <c r="B14" s="12"/>
      <c r="C14" s="12"/>
      <c r="D14" s="12"/>
      <c r="E14" s="12"/>
    </row>
    <row r="15" spans="1:7" x14ac:dyDescent="0.2">
      <c r="A15" s="14" t="s">
        <v>17</v>
      </c>
      <c r="B15" s="12"/>
      <c r="C15" s="15">
        <f ca="1">(C7+C11)+(C8+C12)*INT(MAX(F21:F3516))</f>
        <v>59661.545932557252</v>
      </c>
      <c r="D15" s="16" t="s">
        <v>33</v>
      </c>
      <c r="E15" s="17">
        <f ca="1">TODAY()+15018.5-B9/24</f>
        <v>60319.5</v>
      </c>
    </row>
    <row r="16" spans="1:7" x14ac:dyDescent="0.2">
      <c r="A16" s="18" t="s">
        <v>4</v>
      </c>
      <c r="B16" s="12"/>
      <c r="C16" s="19">
        <f ca="1">+C8+C12</f>
        <v>2.1803430114189259</v>
      </c>
      <c r="D16" s="16" t="s">
        <v>34</v>
      </c>
      <c r="E16" s="17">
        <f ca="1">ROUND(2*(E15-C15)/C16,0)/2+1</f>
        <v>303</v>
      </c>
    </row>
    <row r="17" spans="1:17" ht="13.5" thickBot="1" x14ac:dyDescent="0.25">
      <c r="A17" s="16" t="s">
        <v>30</v>
      </c>
      <c r="B17" s="12"/>
      <c r="C17" s="12">
        <f>COUNT(C21:C2174)</f>
        <v>3</v>
      </c>
      <c r="D17" s="16" t="s">
        <v>35</v>
      </c>
      <c r="E17" s="20">
        <f ca="1">+C15+C16*E16-15018.5-C9/24</f>
        <v>45304.085698350522</v>
      </c>
    </row>
    <row r="18" spans="1:17" ht="14.25" thickTop="1" thickBot="1" x14ac:dyDescent="0.25">
      <c r="A18" s="18" t="s">
        <v>5</v>
      </c>
      <c r="B18" s="12"/>
      <c r="C18" s="21">
        <f ca="1">+C15</f>
        <v>59661.545932557252</v>
      </c>
      <c r="D18" s="22">
        <f ca="1">+C16</f>
        <v>2.1803430114189259</v>
      </c>
      <c r="E18" s="23" t="s">
        <v>36</v>
      </c>
    </row>
    <row r="19" spans="1:17" ht="13.5" thickTop="1" x14ac:dyDescent="0.2">
      <c r="A19" s="27" t="s">
        <v>37</v>
      </c>
      <c r="E19" s="28">
        <v>21</v>
      </c>
    </row>
    <row r="20" spans="1:17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41</v>
      </c>
      <c r="I20" s="7" t="s">
        <v>29</v>
      </c>
      <c r="J20" s="7" t="s">
        <v>18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14</v>
      </c>
    </row>
    <row r="21" spans="1:17" x14ac:dyDescent="0.2">
      <c r="A21" s="32" t="s">
        <v>41</v>
      </c>
      <c r="B21" s="33" t="s">
        <v>38</v>
      </c>
      <c r="C21" s="32">
        <f>C4</f>
        <v>52501.3</v>
      </c>
      <c r="D21" s="32"/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-5.1694250879693671E-4</v>
      </c>
      <c r="Q21" s="2">
        <f>+C21-15018.5</f>
        <v>37482.800000000003</v>
      </c>
    </row>
    <row r="22" spans="1:17" x14ac:dyDescent="0.2">
      <c r="A22" s="29" t="s">
        <v>42</v>
      </c>
      <c r="B22" s="34" t="s">
        <v>38</v>
      </c>
      <c r="C22" s="35">
        <v>53327.6489</v>
      </c>
      <c r="D22" s="35">
        <v>6.9999999999999999E-4</v>
      </c>
      <c r="E22">
        <f>+(C22-C$7)/C$8</f>
        <v>378.99914921720978</v>
      </c>
      <c r="F22">
        <f>ROUND(2*E22,0)/2</f>
        <v>379</v>
      </c>
      <c r="G22">
        <f>+C22-(C$7+F22*C$8)</f>
        <v>-1.8550000022514723E-3</v>
      </c>
      <c r="I22">
        <f>+G22</f>
        <v>-1.8550000022514723E-3</v>
      </c>
      <c r="O22">
        <f ca="1">+C$11+C$12*$F22</f>
        <v>-1.2706147358524571E-3</v>
      </c>
      <c r="Q22" s="2">
        <f>+C22-15018.5</f>
        <v>38309.1489</v>
      </c>
    </row>
    <row r="23" spans="1:17" x14ac:dyDescent="0.2">
      <c r="A23" s="36" t="s">
        <v>44</v>
      </c>
      <c r="B23" s="37" t="s">
        <v>45</v>
      </c>
      <c r="C23" s="38">
        <v>59661.546000000002</v>
      </c>
      <c r="D23" s="39">
        <v>8.0000000000000002E-3</v>
      </c>
      <c r="E23">
        <f>+(C23-C$7)/C$8</f>
        <v>3283.9967986717693</v>
      </c>
      <c r="F23">
        <f>ROUND(2*E23,0)/2</f>
        <v>3284</v>
      </c>
      <c r="G23">
        <f>+C23-(C$7+F23*C$8)</f>
        <v>-6.9799999982933514E-3</v>
      </c>
      <c r="I23">
        <f>+G23</f>
        <v>-6.9799999982933514E-3</v>
      </c>
      <c r="O23">
        <f ca="1">+C$11+C$12*$F23</f>
        <v>-7.0474427558954306E-3</v>
      </c>
      <c r="Q23" s="2">
        <f>+C23-15018.5</f>
        <v>44643.046000000002</v>
      </c>
    </row>
    <row r="24" spans="1:17" x14ac:dyDescent="0.2">
      <c r="C24" s="10"/>
      <c r="D24" s="10"/>
    </row>
    <row r="25" spans="1:17" x14ac:dyDescent="0.2">
      <c r="C25" s="10"/>
      <c r="D25" s="10"/>
    </row>
    <row r="26" spans="1:17" x14ac:dyDescent="0.2">
      <c r="C26" s="10"/>
      <c r="D26" s="10"/>
    </row>
    <row r="27" spans="1:17" x14ac:dyDescent="0.2">
      <c r="C27" s="10"/>
      <c r="D27" s="10"/>
    </row>
    <row r="28" spans="1:17" x14ac:dyDescent="0.2">
      <c r="C28" s="10"/>
      <c r="D28" s="10"/>
    </row>
    <row r="29" spans="1:17" x14ac:dyDescent="0.2">
      <c r="C29" s="10"/>
      <c r="D29" s="10"/>
    </row>
    <row r="30" spans="1:17" x14ac:dyDescent="0.2">
      <c r="C30" s="10"/>
      <c r="D30" s="10"/>
    </row>
    <row r="31" spans="1:17" x14ac:dyDescent="0.2">
      <c r="C31" s="10"/>
      <c r="D31" s="10"/>
    </row>
    <row r="32" spans="1:17" x14ac:dyDescent="0.2">
      <c r="C32" s="10"/>
      <c r="D32" s="10"/>
    </row>
    <row r="33" spans="3:4" x14ac:dyDescent="0.2">
      <c r="C33" s="10"/>
      <c r="D33" s="10"/>
    </row>
    <row r="34" spans="3:4" x14ac:dyDescent="0.2">
      <c r="C34" s="10"/>
      <c r="D34" s="10"/>
    </row>
    <row r="35" spans="3:4" x14ac:dyDescent="0.2">
      <c r="C35" s="10"/>
      <c r="D35" s="10"/>
    </row>
    <row r="36" spans="3:4" x14ac:dyDescent="0.2">
      <c r="C36" s="10"/>
      <c r="D36" s="10"/>
    </row>
    <row r="37" spans="3:4" x14ac:dyDescent="0.2">
      <c r="C37" s="10"/>
      <c r="D37" s="10"/>
    </row>
    <row r="38" spans="3:4" x14ac:dyDescent="0.2">
      <c r="C38" s="10"/>
      <c r="D38" s="10"/>
    </row>
    <row r="39" spans="3:4" x14ac:dyDescent="0.2">
      <c r="C39" s="10"/>
      <c r="D39" s="10"/>
    </row>
    <row r="40" spans="3:4" x14ac:dyDescent="0.2">
      <c r="C40" s="10"/>
      <c r="D40" s="10"/>
    </row>
    <row r="41" spans="3:4" x14ac:dyDescent="0.2">
      <c r="C41" s="10"/>
      <c r="D41" s="10"/>
    </row>
    <row r="42" spans="3:4" x14ac:dyDescent="0.2">
      <c r="C42" s="10"/>
      <c r="D42" s="10"/>
    </row>
    <row r="43" spans="3:4" x14ac:dyDescent="0.2">
      <c r="C43" s="10"/>
      <c r="D43" s="10"/>
    </row>
    <row r="44" spans="3:4" x14ac:dyDescent="0.2">
      <c r="C44" s="10"/>
      <c r="D44" s="10"/>
    </row>
    <row r="45" spans="3:4" x14ac:dyDescent="0.2">
      <c r="C45" s="10"/>
      <c r="D45" s="10"/>
    </row>
    <row r="46" spans="3:4" x14ac:dyDescent="0.2">
      <c r="C46" s="10"/>
      <c r="D46" s="10"/>
    </row>
    <row r="47" spans="3:4" x14ac:dyDescent="0.2">
      <c r="C47" s="10"/>
      <c r="D47" s="10"/>
    </row>
    <row r="48" spans="3:4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2024-01-10T01:34:53Z</dcterms:modified>
</cp:coreProperties>
</file>