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6508B56-C464-41C9-AD57-8898D3B96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9" i="1" l="1"/>
  <c r="Q38" i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7" i="1"/>
  <c r="H26" i="2"/>
  <c r="B26" i="2"/>
  <c r="G26" i="2"/>
  <c r="C26" i="2"/>
  <c r="D26" i="2"/>
  <c r="A26" i="2"/>
  <c r="H25" i="2"/>
  <c r="G25" i="2"/>
  <c r="C25" i="2"/>
  <c r="D25" i="2"/>
  <c r="B25" i="2"/>
  <c r="A25" i="2"/>
  <c r="H24" i="2"/>
  <c r="G24" i="2"/>
  <c r="C24" i="2"/>
  <c r="D24" i="2"/>
  <c r="B24" i="2"/>
  <c r="A24" i="2"/>
  <c r="H23" i="2"/>
  <c r="B23" i="2"/>
  <c r="G23" i="2"/>
  <c r="D23" i="2"/>
  <c r="C23" i="2"/>
  <c r="A23" i="2"/>
  <c r="H22" i="2"/>
  <c r="B22" i="2"/>
  <c r="G22" i="2"/>
  <c r="C22" i="2"/>
  <c r="D22" i="2"/>
  <c r="A22" i="2"/>
  <c r="H21" i="2"/>
  <c r="G21" i="2"/>
  <c r="C21" i="2"/>
  <c r="D21" i="2"/>
  <c r="B21" i="2"/>
  <c r="A21" i="2"/>
  <c r="H20" i="2"/>
  <c r="G20" i="2"/>
  <c r="C20" i="2"/>
  <c r="D20" i="2"/>
  <c r="B20" i="2"/>
  <c r="A20" i="2"/>
  <c r="H19" i="2"/>
  <c r="B19" i="2"/>
  <c r="G19" i="2"/>
  <c r="D19" i="2"/>
  <c r="C19" i="2"/>
  <c r="A19" i="2"/>
  <c r="H18" i="2"/>
  <c r="B18" i="2"/>
  <c r="G18" i="2"/>
  <c r="C18" i="2"/>
  <c r="D18" i="2"/>
  <c r="A18" i="2"/>
  <c r="H17" i="2"/>
  <c r="G17" i="2"/>
  <c r="C17" i="2"/>
  <c r="D17" i="2"/>
  <c r="B17" i="2"/>
  <c r="A17" i="2"/>
  <c r="H16" i="2"/>
  <c r="G16" i="2"/>
  <c r="C16" i="2"/>
  <c r="D16" i="2"/>
  <c r="B16" i="2"/>
  <c r="A16" i="2"/>
  <c r="H15" i="2"/>
  <c r="B15" i="2"/>
  <c r="G15" i="2"/>
  <c r="D15" i="2"/>
  <c r="C15" i="2"/>
  <c r="A15" i="2"/>
  <c r="H14" i="2"/>
  <c r="B14" i="2"/>
  <c r="G14" i="2"/>
  <c r="C14" i="2"/>
  <c r="D14" i="2"/>
  <c r="A14" i="2"/>
  <c r="H13" i="2"/>
  <c r="G13" i="2"/>
  <c r="C13" i="2"/>
  <c r="D13" i="2"/>
  <c r="B13" i="2"/>
  <c r="A13" i="2"/>
  <c r="H12" i="2"/>
  <c r="G12" i="2"/>
  <c r="C12" i="2"/>
  <c r="D12" i="2"/>
  <c r="B12" i="2"/>
  <c r="A12" i="2"/>
  <c r="H11" i="2"/>
  <c r="B11" i="2"/>
  <c r="G11" i="2"/>
  <c r="D11" i="2"/>
  <c r="C11" i="2"/>
  <c r="E11" i="2"/>
  <c r="A11" i="2"/>
  <c r="Q36" i="1"/>
  <c r="E30" i="1"/>
  <c r="E39" i="1"/>
  <c r="F39" i="1" s="1"/>
  <c r="G39" i="1" s="1"/>
  <c r="K39" i="1" s="1"/>
  <c r="E9" i="1"/>
  <c r="F16" i="1"/>
  <c r="C17" i="1"/>
  <c r="Q22" i="1"/>
  <c r="E31" i="1"/>
  <c r="F31" i="1" s="1"/>
  <c r="G31" i="1" s="1"/>
  <c r="I31" i="1" s="1"/>
  <c r="E37" i="1"/>
  <c r="F37" i="1" s="1"/>
  <c r="G37" i="1" s="1"/>
  <c r="K37" i="1" s="1"/>
  <c r="E33" i="1"/>
  <c r="F33" i="1" s="1"/>
  <c r="G33" i="1" s="1"/>
  <c r="I33" i="1" s="1"/>
  <c r="F30" i="1" l="1"/>
  <c r="G30" i="1" s="1"/>
  <c r="I30" i="1" s="1"/>
  <c r="E20" i="2"/>
  <c r="E27" i="1"/>
  <c r="E36" i="1"/>
  <c r="F17" i="1"/>
  <c r="E34" i="1"/>
  <c r="E22" i="1"/>
  <c r="F22" i="1" s="1"/>
  <c r="G22" i="1" s="1"/>
  <c r="H22" i="1" s="1"/>
  <c r="E28" i="1"/>
  <c r="E23" i="1"/>
  <c r="E38" i="1"/>
  <c r="F38" i="1" s="1"/>
  <c r="G38" i="1" s="1"/>
  <c r="K38" i="1" s="1"/>
  <c r="E23" i="2"/>
  <c r="E35" i="1"/>
  <c r="E32" i="1"/>
  <c r="E25" i="1"/>
  <c r="E26" i="1"/>
  <c r="E29" i="1"/>
  <c r="E21" i="1"/>
  <c r="E21" i="2"/>
  <c r="E24" i="1"/>
  <c r="E14" i="2" l="1"/>
  <c r="F24" i="1"/>
  <c r="G24" i="1" s="1"/>
  <c r="I24" i="1" s="1"/>
  <c r="F32" i="1"/>
  <c r="G32" i="1" s="1"/>
  <c r="I32" i="1" s="1"/>
  <c r="E22" i="2"/>
  <c r="F35" i="1"/>
  <c r="G35" i="1" s="1"/>
  <c r="I35" i="1" s="1"/>
  <c r="E25" i="2"/>
  <c r="E24" i="2"/>
  <c r="F34" i="1"/>
  <c r="G34" i="1" s="1"/>
  <c r="I34" i="1" s="1"/>
  <c r="F36" i="1"/>
  <c r="G36" i="1" s="1"/>
  <c r="K36" i="1" s="1"/>
  <c r="E26" i="2"/>
  <c r="F21" i="1"/>
  <c r="G21" i="1" s="1"/>
  <c r="E12" i="2"/>
  <c r="E19" i="2"/>
  <c r="F29" i="1"/>
  <c r="G29" i="1" s="1"/>
  <c r="I29" i="1" s="1"/>
  <c r="E17" i="2"/>
  <c r="F27" i="1"/>
  <c r="G27" i="1" s="1"/>
  <c r="I27" i="1" s="1"/>
  <c r="F26" i="1"/>
  <c r="G26" i="1" s="1"/>
  <c r="I26" i="1" s="1"/>
  <c r="E16" i="2"/>
  <c r="E13" i="2"/>
  <c r="F23" i="1"/>
  <c r="G23" i="1" s="1"/>
  <c r="I23" i="1" s="1"/>
  <c r="E15" i="2"/>
  <c r="F25" i="1"/>
  <c r="G25" i="1" s="1"/>
  <c r="I25" i="1" s="1"/>
  <c r="F28" i="1"/>
  <c r="G28" i="1" s="1"/>
  <c r="I28" i="1" s="1"/>
  <c r="E18" i="2"/>
  <c r="C11" i="1"/>
  <c r="C12" i="1"/>
  <c r="C16" i="1" l="1"/>
  <c r="D18" i="1" s="1"/>
  <c r="O23" i="1"/>
  <c r="O35" i="1"/>
  <c r="O29" i="1"/>
  <c r="O36" i="1"/>
  <c r="O33" i="1"/>
  <c r="O24" i="1"/>
  <c r="O25" i="1"/>
  <c r="O32" i="1"/>
  <c r="O28" i="1"/>
  <c r="O37" i="1"/>
  <c r="O21" i="1"/>
  <c r="O27" i="1"/>
  <c r="O22" i="1"/>
  <c r="O39" i="1"/>
  <c r="O26" i="1"/>
  <c r="C15" i="1"/>
  <c r="O34" i="1"/>
  <c r="O30" i="1"/>
  <c r="O31" i="1"/>
  <c r="O38" i="1"/>
  <c r="I21" i="1"/>
  <c r="C18" i="1" l="1"/>
  <c r="F18" i="1"/>
  <c r="F19" i="1" s="1"/>
</calcChain>
</file>

<file path=xl/sharedStrings.xml><?xml version="1.0" encoding="utf-8"?>
<sst xmlns="http://schemas.openxmlformats.org/spreadsheetml/2006/main" count="228" uniqueCount="119">
  <si>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</si>
  <si>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</si>
  <si>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</si>
  <si>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</si>
  <si>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</si>
  <si>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</si>
  <si>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</si>
  <si>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</si>
  <si>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</si>
  <si>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</si>
  <si>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</si>
  <si>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</si>
  <si>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</si>
  <si>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</si>
  <si>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</si>
  <si>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</si>
  <si>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</si>
  <si>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</si>
  <si>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</si>
  <si>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</si>
  <si>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</si>
  <si>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</si>
  <si>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</si>
  <si>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</si>
  <si>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</si>
  <si>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</si>
  <si>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</si>
  <si>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</si>
  <si>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</si>
  <si>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</si>
  <si>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</si>
  <si>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</si>
  <si>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</si>
  <si>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</si>
  <si>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</si>
  <si>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</si>
  <si>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</si>
  <si>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</si>
  <si>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V0409 Aql</t>
  </si>
  <si>
    <t>G5130-1501</t>
  </si>
  <si>
    <t>EA/DM</t>
  </si>
  <si>
    <t>V0409 Aql / GSC 5130-1501</t>
  </si>
  <si>
    <t>GCVS</t>
  </si>
  <si>
    <t>OEJV 0172</t>
  </si>
  <si>
    <t>I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</si>
  <si>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</si>
  <si>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</si>
  <si>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</si>
  <si>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</si>
  <si>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</si>
  <si>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</si>
  <si>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</si>
  <si>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2425503.319 </t>
  </si>
  <si>
    <t> 13.09.1928 19:39 </t>
  </si>
  <si>
    <t> 0.003 </t>
  </si>
  <si>
    <t>P </t>
  </si>
  <si>
    <t> E.Ahnert-Rohlfs </t>
  </si>
  <si>
    <t> VSS 2.123 </t>
  </si>
  <si>
    <t>2425503.355 </t>
  </si>
  <si>
    <t> 13.09.1928 20:31 </t>
  </si>
  <si>
    <t> 0.039 </t>
  </si>
  <si>
    <t> C.Hoffmeister </t>
  </si>
  <si>
    <t> KVBB 19.32 </t>
  </si>
  <si>
    <t>2425792.446 </t>
  </si>
  <si>
    <t> 29.06.1929 22:42 </t>
  </si>
  <si>
    <t> 0.163 </t>
  </si>
  <si>
    <t>2425798.444 </t>
  </si>
  <si>
    <t> 05.07.1929 22:39 </t>
  </si>
  <si>
    <t> 0.013 </t>
  </si>
  <si>
    <t>2425835.405 </t>
  </si>
  <si>
    <t> 11.08.1929 21:43 </t>
  </si>
  <si>
    <t> 0.085 </t>
  </si>
  <si>
    <t>2426095.549 </t>
  </si>
  <si>
    <t> 29.04.1930 01:10 </t>
  </si>
  <si>
    <t> -0.046 </t>
  </si>
  <si>
    <t>2426207.367 </t>
  </si>
  <si>
    <t> 18.08.1930 20:48 </t>
  </si>
  <si>
    <t> 0.079 </t>
  </si>
  <si>
    <t>2426247.338 </t>
  </si>
  <si>
    <t> 27.09.1930 20:06 </t>
  </si>
  <si>
    <t> 0.086 </t>
  </si>
  <si>
    <t>2426505.460 </t>
  </si>
  <si>
    <t> 12.06.1931 23:02 </t>
  </si>
  <si>
    <t> -0.017 </t>
  </si>
  <si>
    <t>2426546.493 </t>
  </si>
  <si>
    <t> 23.07.1931 23:49 </t>
  </si>
  <si>
    <t> 0.028 </t>
  </si>
  <si>
    <t>2431647.452 </t>
  </si>
  <si>
    <t> 10.07.1945 22:50 </t>
  </si>
  <si>
    <t> 0.007 </t>
  </si>
  <si>
    <t>2433473.479 </t>
  </si>
  <si>
    <t> 10.07.1950 23:29 </t>
  </si>
  <si>
    <t> 0.011 </t>
  </si>
  <si>
    <t>2433514.410 </t>
  </si>
  <si>
    <t> 20.08.1950 21:50 </t>
  </si>
  <si>
    <t>2442639.363 </t>
  </si>
  <si>
    <t> 14.08.1975 20:42 </t>
  </si>
  <si>
    <t> -0.087 </t>
  </si>
  <si>
    <t>V </t>
  </si>
  <si>
    <t> T.Berthold </t>
  </si>
  <si>
    <t> MVS 7.149 </t>
  </si>
  <si>
    <t>2443721.433 </t>
  </si>
  <si>
    <t> 31.07.1978 22:23 </t>
  </si>
  <si>
    <t> -0.105 </t>
  </si>
  <si>
    <t> MVS 8.136 </t>
  </si>
  <si>
    <t>2457199.470 </t>
  </si>
  <si>
    <t> 25.06.2015 23:16 </t>
  </si>
  <si>
    <t> -0.007 </t>
  </si>
  <si>
    <t>C </t>
  </si>
  <si>
    <t>o</t>
  </si>
  <si>
    <t> A.Paschke </t>
  </si>
  <si>
    <t>OEJV 0172 </t>
  </si>
  <si>
    <t>II</t>
  </si>
  <si>
    <t>s5</t>
  </si>
  <si>
    <t>s6</t>
  </si>
  <si>
    <t>s7</t>
  </si>
  <si>
    <t>JAVSO 49, 108</t>
  </si>
  <si>
    <t>JAVSO, 50, 133</t>
  </si>
  <si>
    <t>F21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</si>
</sst>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165" fontId="20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2" fillId="4" borderId="12" xfId="7" applyFill="1" applyBorder="1" applyAlignment="1" applyProtection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166" fontId="25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V409 Aql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B1-4673-8E3E-0925820B1C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-2.9999999998835847E-2</c:v>
                </c:pt>
                <c:pt idx="2">
                  <c:v>9.7010000001318986E-2</c:v>
                </c:pt>
                <c:pt idx="3">
                  <c:v>-5.3159999999479624E-2</c:v>
                </c:pt>
                <c:pt idx="4">
                  <c:v>1.8820000001142034E-2</c:v>
                </c:pt>
                <c:pt idx="5">
                  <c:v>-0.10971000000063214</c:v>
                </c:pt>
                <c:pt idx="6">
                  <c:v>1.6534999998839339E-2</c:v>
                </c:pt>
                <c:pt idx="7">
                  <c:v>2.4430000001302687E-2</c:v>
                </c:pt>
                <c:pt idx="8">
                  <c:v>-7.6709999997547129E-2</c:v>
                </c:pt>
                <c:pt idx="9">
                  <c:v>-3.1510000000707805E-2</c:v>
                </c:pt>
                <c:pt idx="10">
                  <c:v>-4.2199999988952186E-3</c:v>
                </c:pt>
                <c:pt idx="11">
                  <c:v>1.6289999999571592E-2</c:v>
                </c:pt>
                <c:pt idx="12">
                  <c:v>-4.050999999162741E-2</c:v>
                </c:pt>
                <c:pt idx="13">
                  <c:v>3.5150000039720908E-3</c:v>
                </c:pt>
                <c:pt idx="14">
                  <c:v>-4.4049999996786937E-3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B1-4673-8E3E-0925820B1C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B1-4673-8E3E-0925820B1C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5">
                  <c:v>0.21926000000530621</c:v>
                </c:pt>
                <c:pt idx="16">
                  <c:v>0.21926000000530621</c:v>
                </c:pt>
                <c:pt idx="17">
                  <c:v>0.22256000000925269</c:v>
                </c:pt>
                <c:pt idx="18">
                  <c:v>0.2331800000029034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B1-4673-8E3E-0925820B1C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B1-4673-8E3E-0925820B1C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B1-4673-8E3E-0925820B1C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B1-4673-8E3E-0925820B1C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-3.2598959012548778E-2</c:v>
                </c:pt>
                <c:pt idx="1">
                  <c:v>-3.2598959012548778E-2</c:v>
                </c:pt>
                <c:pt idx="2">
                  <c:v>-3.0596891205373337E-2</c:v>
                </c:pt>
                <c:pt idx="3">
                  <c:v>-3.0554294017986629E-2</c:v>
                </c:pt>
                <c:pt idx="4">
                  <c:v>-3.0298710893666359E-2</c:v>
                </c:pt>
                <c:pt idx="5">
                  <c:v>-2.849542996096224E-2</c:v>
                </c:pt>
                <c:pt idx="6">
                  <c:v>-2.7721581056770316E-2</c:v>
                </c:pt>
                <c:pt idx="7">
                  <c:v>-2.7444699338756692E-2</c:v>
                </c:pt>
                <c:pt idx="8">
                  <c:v>-2.5655617468514809E-2</c:v>
                </c:pt>
                <c:pt idx="9">
                  <c:v>-2.5371636219270067E-2</c:v>
                </c:pt>
                <c:pt idx="10">
                  <c:v>9.9698302492382124E-3</c:v>
                </c:pt>
                <c:pt idx="11">
                  <c:v>2.2621194903091522E-2</c:v>
                </c:pt>
                <c:pt idx="12">
                  <c:v>2.2905176152336261E-2</c:v>
                </c:pt>
                <c:pt idx="13">
                  <c:v>8.61265017654472E-2</c:v>
                </c:pt>
                <c:pt idx="14">
                  <c:v>9.3623606745508403E-2</c:v>
                </c:pt>
                <c:pt idx="15">
                  <c:v>0.18700374102841108</c:v>
                </c:pt>
                <c:pt idx="16">
                  <c:v>0.18700374102841108</c:v>
                </c:pt>
                <c:pt idx="17">
                  <c:v>0.20020886911829161</c:v>
                </c:pt>
                <c:pt idx="18">
                  <c:v>0.20250911723717405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B1-4673-8E3E-0925820B1C3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B1-4673-8E3E-0925820B1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263608"/>
        <c:axId val="1"/>
      </c:scatterChart>
      <c:valAx>
        <c:axId val="76226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263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19</xdr:col>
      <xdr:colOff>38100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2FDE3EB-915C-F100-F800-08D23A13B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172.pdf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1" topLeftCell="O24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41</v>
      </c>
      <c r="F1" s="31" t="s">
        <v>38</v>
      </c>
      <c r="G1" s="32">
        <v>0</v>
      </c>
      <c r="H1" s="33"/>
      <c r="I1" s="34" t="s">
        <v>39</v>
      </c>
      <c r="J1" s="35" t="s">
        <v>38</v>
      </c>
      <c r="K1" s="36">
        <v>19.175850000000001</v>
      </c>
      <c r="L1" s="37">
        <v>-0.40439999999999998</v>
      </c>
      <c r="M1" s="38">
        <v>25503.384999999998</v>
      </c>
      <c r="N1" s="38">
        <v>2.0493899999999998</v>
      </c>
      <c r="O1" s="34" t="s">
        <v>40</v>
      </c>
    </row>
    <row r="2" spans="1:15" x14ac:dyDescent="0.2">
      <c r="A2" t="s">
        <v>23</v>
      </c>
      <c r="B2" t="s">
        <v>40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54678.703999999998</v>
      </c>
      <c r="D4" s="28">
        <v>2.0494091000000001</v>
      </c>
    </row>
    <row r="5" spans="1:15" ht="13.5" thickTop="1" x14ac:dyDescent="0.2">
      <c r="A5" s="9" t="s">
        <v>25</v>
      </c>
      <c r="B5" s="10"/>
      <c r="C5" s="11">
        <v>-9.5</v>
      </c>
      <c r="D5" s="10" t="s">
        <v>26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62">
        <v>25503.384999999998</v>
      </c>
      <c r="D7" s="29" t="s">
        <v>42</v>
      </c>
    </row>
    <row r="8" spans="1:15" x14ac:dyDescent="0.2">
      <c r="A8" t="s">
        <v>3</v>
      </c>
      <c r="C8" s="62">
        <v>2.0493899999999998</v>
      </c>
      <c r="D8" s="29" t="s">
        <v>42</v>
      </c>
    </row>
    <row r="9" spans="1:15" x14ac:dyDescent="0.2">
      <c r="A9" s="24" t="s">
        <v>29</v>
      </c>
      <c r="C9" s="25">
        <v>21</v>
      </c>
      <c r="D9" s="22" t="s">
        <v>118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INTERCEPT(INDIRECT($E$9):G991,INDIRECT($D$9):F991)</f>
        <v>-3.2598959012548778E-2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SLOPE(INDIRECT($E$9):G991,INDIRECT($D$9):F991)</f>
        <v>1.4199062462237155E-5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(C7+C11)+(C8+C12)*INT(MAX(F21:F3532))</f>
        <v>59437.387129117225</v>
      </c>
      <c r="E15" s="14" t="s">
        <v>31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2.0494041990624621</v>
      </c>
      <c r="E16" s="14" t="s">
        <v>27</v>
      </c>
      <c r="F16" s="40">
        <f ca="1">NOW()+15018.5+$C$5/24</f>
        <v>60320.683660763883</v>
      </c>
    </row>
    <row r="17" spans="1:18" ht="13.5" thickBot="1" x14ac:dyDescent="0.25">
      <c r="A17" s="14" t="s">
        <v>24</v>
      </c>
      <c r="B17" s="10"/>
      <c r="C17" s="10">
        <f>COUNT(C21:C2190)</f>
        <v>19</v>
      </c>
      <c r="E17" s="14" t="s">
        <v>32</v>
      </c>
      <c r="F17" s="15">
        <f ca="1">ROUND(2*(F16-$C$7)/$C$8,0)/2+F15</f>
        <v>16990</v>
      </c>
    </row>
    <row r="18" spans="1:18" ht="14.25" thickTop="1" thickBot="1" x14ac:dyDescent="0.25">
      <c r="A18" s="16" t="s">
        <v>5</v>
      </c>
      <c r="B18" s="10"/>
      <c r="C18" s="19">
        <f ca="1">+C15</f>
        <v>59437.387129117225</v>
      </c>
      <c r="D18" s="20">
        <f ca="1">+C16</f>
        <v>2.0494041990624621</v>
      </c>
      <c r="E18" s="14" t="s">
        <v>33</v>
      </c>
      <c r="F18" s="23">
        <f ca="1">ROUND(2*(F16-$C$15)/$C$16,0)/2+F15</f>
        <v>432</v>
      </c>
    </row>
    <row r="19" spans="1:18" ht="13.5" thickTop="1" x14ac:dyDescent="0.2">
      <c r="E19" s="14" t="s">
        <v>28</v>
      </c>
      <c r="F19" s="18">
        <f ca="1">+$C$15+$C$16*F18-15018.5-$C$5/24</f>
        <v>45304.625576445542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34</v>
      </c>
      <c r="I20" s="7" t="s">
        <v>35</v>
      </c>
      <c r="J20" s="7" t="s">
        <v>36</v>
      </c>
      <c r="K20" s="7" t="s">
        <v>37</v>
      </c>
      <c r="L20" s="7" t="s">
        <v>113</v>
      </c>
      <c r="M20" s="7" t="s">
        <v>114</v>
      </c>
      <c r="N20" s="7" t="s">
        <v>115</v>
      </c>
      <c r="O20" s="7" t="s">
        <v>22</v>
      </c>
      <c r="P20" s="6" t="s">
        <v>21</v>
      </c>
      <c r="Q20" s="4" t="s">
        <v>14</v>
      </c>
      <c r="R20" s="26" t="s">
        <v>30</v>
      </c>
    </row>
    <row r="21" spans="1:18" x14ac:dyDescent="0.2">
      <c r="A21" t="s">
        <v>62</v>
      </c>
      <c r="B21" t="s">
        <v>44</v>
      </c>
      <c r="C21" s="8">
        <v>25503.355</v>
      </c>
      <c r="D21" s="8" t="s">
        <v>35</v>
      </c>
      <c r="E21">
        <f t="shared" ref="E21:E37" si="0">+(C21-C$7)/C$8</f>
        <v>-1.4638502187888029E-2</v>
      </c>
      <c r="F21">
        <f t="shared" ref="F21:F38" si="1">ROUND(2*E21,0)/2</f>
        <v>0</v>
      </c>
      <c r="G21">
        <f t="shared" ref="G21:G37" si="2">+C21-(C$7+F21*C$8)</f>
        <v>-2.9999999998835847E-2</v>
      </c>
      <c r="I21">
        <f>+G21</f>
        <v>-2.9999999998835847E-2</v>
      </c>
      <c r="O21">
        <f t="shared" ref="O21:O37" ca="1" si="3">+C$11+C$12*$F21</f>
        <v>-3.2598959012548778E-2</v>
      </c>
      <c r="Q21" s="2">
        <f t="shared" ref="Q21:Q37" si="4">+C21-15018.5</f>
        <v>10484.855</v>
      </c>
    </row>
    <row r="22" spans="1:18" x14ac:dyDescent="0.2">
      <c r="A22" t="s">
        <v>42</v>
      </c>
      <c r="C22" s="8">
        <v>25503.384999999998</v>
      </c>
      <c r="D22" s="8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-3.2598959012548778E-2</v>
      </c>
      <c r="Q22" s="2">
        <f t="shared" si="4"/>
        <v>10484.884999999998</v>
      </c>
    </row>
    <row r="23" spans="1:18" x14ac:dyDescent="0.2">
      <c r="A23" t="s">
        <v>62</v>
      </c>
      <c r="B23" t="s">
        <v>44</v>
      </c>
      <c r="C23" s="8">
        <v>25792.446</v>
      </c>
      <c r="D23" s="8" t="s">
        <v>35</v>
      </c>
      <c r="E23">
        <f t="shared" si="0"/>
        <v>141.04733603657749</v>
      </c>
      <c r="F23">
        <f t="shared" si="1"/>
        <v>141</v>
      </c>
      <c r="G23">
        <f t="shared" si="2"/>
        <v>9.7010000001318986E-2</v>
      </c>
      <c r="I23">
        <f t="shared" ref="I23:I37" si="5">+G23</f>
        <v>9.7010000001318986E-2</v>
      </c>
      <c r="O23">
        <f t="shared" ca="1" si="3"/>
        <v>-3.0596891205373337E-2</v>
      </c>
      <c r="Q23" s="2">
        <f t="shared" si="4"/>
        <v>10773.946</v>
      </c>
    </row>
    <row r="24" spans="1:18" x14ac:dyDescent="0.2">
      <c r="A24" t="s">
        <v>62</v>
      </c>
      <c r="B24" t="s">
        <v>44</v>
      </c>
      <c r="C24" s="8">
        <v>25798.444</v>
      </c>
      <c r="D24" s="8" t="s">
        <v>35</v>
      </c>
      <c r="E24">
        <f t="shared" si="0"/>
        <v>143.9740605741226</v>
      </c>
      <c r="F24">
        <f t="shared" si="1"/>
        <v>144</v>
      </c>
      <c r="G24">
        <f t="shared" si="2"/>
        <v>-5.3159999999479624E-2</v>
      </c>
      <c r="I24">
        <f t="shared" si="5"/>
        <v>-5.3159999999479624E-2</v>
      </c>
      <c r="O24">
        <f t="shared" ca="1" si="3"/>
        <v>-3.0554294017986629E-2</v>
      </c>
      <c r="Q24" s="2">
        <f t="shared" si="4"/>
        <v>10779.944</v>
      </c>
    </row>
    <row r="25" spans="1:18" x14ac:dyDescent="0.2">
      <c r="A25" t="s">
        <v>62</v>
      </c>
      <c r="B25" t="s">
        <v>44</v>
      </c>
      <c r="C25" s="8">
        <v>25835.404999999999</v>
      </c>
      <c r="D25" s="8" t="s">
        <v>35</v>
      </c>
      <c r="E25">
        <f t="shared" si="0"/>
        <v>162.00918322037313</v>
      </c>
      <c r="F25">
        <f t="shared" si="1"/>
        <v>162</v>
      </c>
      <c r="G25">
        <f t="shared" si="2"/>
        <v>1.8820000001142034E-2</v>
      </c>
      <c r="I25">
        <f t="shared" si="5"/>
        <v>1.8820000001142034E-2</v>
      </c>
      <c r="O25">
        <f t="shared" ca="1" si="3"/>
        <v>-3.0298710893666359E-2</v>
      </c>
      <c r="Q25" s="2">
        <f t="shared" si="4"/>
        <v>10816.904999999999</v>
      </c>
    </row>
    <row r="26" spans="1:18" x14ac:dyDescent="0.2">
      <c r="A26" t="s">
        <v>57</v>
      </c>
      <c r="B26" t="s">
        <v>44</v>
      </c>
      <c r="C26" s="8">
        <v>26095.548999999999</v>
      </c>
      <c r="D26" s="8" t="s">
        <v>35</v>
      </c>
      <c r="E26">
        <f t="shared" si="0"/>
        <v>288.94646699749717</v>
      </c>
      <c r="F26">
        <f t="shared" si="1"/>
        <v>289</v>
      </c>
      <c r="G26">
        <f t="shared" si="2"/>
        <v>-0.10971000000063214</v>
      </c>
      <c r="I26">
        <f t="shared" si="5"/>
        <v>-0.10971000000063214</v>
      </c>
      <c r="O26">
        <f t="shared" ca="1" si="3"/>
        <v>-2.849542996096224E-2</v>
      </c>
      <c r="Q26" s="2">
        <f t="shared" si="4"/>
        <v>11077.048999999999</v>
      </c>
    </row>
    <row r="27" spans="1:18" x14ac:dyDescent="0.2">
      <c r="A27" t="s">
        <v>57</v>
      </c>
      <c r="B27" t="s">
        <v>112</v>
      </c>
      <c r="C27" s="8">
        <v>26207.366999999998</v>
      </c>
      <c r="D27" s="8" t="s">
        <v>35</v>
      </c>
      <c r="E27">
        <f t="shared" si="0"/>
        <v>343.50806825445625</v>
      </c>
      <c r="F27">
        <f t="shared" si="1"/>
        <v>343.5</v>
      </c>
      <c r="G27">
        <f t="shared" si="2"/>
        <v>1.6534999998839339E-2</v>
      </c>
      <c r="I27">
        <f t="shared" si="5"/>
        <v>1.6534999998839339E-2</v>
      </c>
      <c r="O27">
        <f t="shared" ca="1" si="3"/>
        <v>-2.7721581056770316E-2</v>
      </c>
      <c r="Q27" s="2">
        <f t="shared" si="4"/>
        <v>11188.866999999998</v>
      </c>
    </row>
    <row r="28" spans="1:18" x14ac:dyDescent="0.2">
      <c r="A28" t="s">
        <v>62</v>
      </c>
      <c r="B28" t="s">
        <v>44</v>
      </c>
      <c r="C28" s="8">
        <v>26247.338</v>
      </c>
      <c r="D28" s="8" t="s">
        <v>35</v>
      </c>
      <c r="E28">
        <f t="shared" si="0"/>
        <v>363.01192062028281</v>
      </c>
      <c r="F28">
        <f t="shared" si="1"/>
        <v>363</v>
      </c>
      <c r="G28">
        <f t="shared" si="2"/>
        <v>2.4430000001302687E-2</v>
      </c>
      <c r="I28">
        <f t="shared" si="5"/>
        <v>2.4430000001302687E-2</v>
      </c>
      <c r="O28">
        <f t="shared" ca="1" si="3"/>
        <v>-2.7444699338756692E-2</v>
      </c>
      <c r="Q28" s="2">
        <f t="shared" si="4"/>
        <v>11228.838</v>
      </c>
    </row>
    <row r="29" spans="1:18" x14ac:dyDescent="0.2">
      <c r="A29" t="s">
        <v>57</v>
      </c>
      <c r="B29" t="s">
        <v>44</v>
      </c>
      <c r="C29" s="8">
        <v>26505.46</v>
      </c>
      <c r="D29" s="8" t="s">
        <v>35</v>
      </c>
      <c r="E29">
        <f t="shared" si="0"/>
        <v>488.96256934990453</v>
      </c>
      <c r="F29">
        <f t="shared" si="1"/>
        <v>489</v>
      </c>
      <c r="G29">
        <f t="shared" si="2"/>
        <v>-7.6709999997547129E-2</v>
      </c>
      <c r="I29">
        <f t="shared" si="5"/>
        <v>-7.6709999997547129E-2</v>
      </c>
      <c r="O29">
        <f t="shared" ca="1" si="3"/>
        <v>-2.5655617468514809E-2</v>
      </c>
      <c r="Q29" s="2">
        <f t="shared" si="4"/>
        <v>11486.96</v>
      </c>
    </row>
    <row r="30" spans="1:18" x14ac:dyDescent="0.2">
      <c r="A30" t="s">
        <v>62</v>
      </c>
      <c r="B30" t="s">
        <v>44</v>
      </c>
      <c r="C30" s="8">
        <v>26546.492999999999</v>
      </c>
      <c r="D30" s="8" t="s">
        <v>35</v>
      </c>
      <c r="E30">
        <f t="shared" si="0"/>
        <v>508.98462469320151</v>
      </c>
      <c r="F30">
        <f t="shared" si="1"/>
        <v>509</v>
      </c>
      <c r="G30">
        <f t="shared" si="2"/>
        <v>-3.1510000000707805E-2</v>
      </c>
      <c r="I30">
        <f t="shared" si="5"/>
        <v>-3.1510000000707805E-2</v>
      </c>
      <c r="O30">
        <f t="shared" ca="1" si="3"/>
        <v>-2.5371636219270067E-2</v>
      </c>
      <c r="Q30" s="2">
        <f t="shared" si="4"/>
        <v>11527.992999999999</v>
      </c>
    </row>
    <row r="31" spans="1:18" x14ac:dyDescent="0.2">
      <c r="A31" t="s">
        <v>57</v>
      </c>
      <c r="B31" t="s">
        <v>44</v>
      </c>
      <c r="C31" s="8">
        <v>31647.452000000001</v>
      </c>
      <c r="D31" s="8" t="s">
        <v>35</v>
      </c>
      <c r="E31">
        <f t="shared" si="0"/>
        <v>2997.9979408506938</v>
      </c>
      <c r="F31">
        <f t="shared" si="1"/>
        <v>2998</v>
      </c>
      <c r="G31">
        <f t="shared" si="2"/>
        <v>-4.2199999988952186E-3</v>
      </c>
      <c r="I31">
        <f t="shared" si="5"/>
        <v>-4.2199999988952186E-3</v>
      </c>
      <c r="O31">
        <f t="shared" ca="1" si="3"/>
        <v>9.9698302492382124E-3</v>
      </c>
      <c r="Q31" s="2">
        <f t="shared" si="4"/>
        <v>16628.952000000001</v>
      </c>
    </row>
    <row r="32" spans="1:18" x14ac:dyDescent="0.2">
      <c r="A32" t="s">
        <v>57</v>
      </c>
      <c r="B32" t="s">
        <v>44</v>
      </c>
      <c r="C32" s="8">
        <v>33473.478999999999</v>
      </c>
      <c r="D32" s="8" t="s">
        <v>35</v>
      </c>
      <c r="E32">
        <f t="shared" si="0"/>
        <v>3889.0079487066891</v>
      </c>
      <c r="F32">
        <f t="shared" si="1"/>
        <v>3889</v>
      </c>
      <c r="G32">
        <f t="shared" si="2"/>
        <v>1.6289999999571592E-2</v>
      </c>
      <c r="I32">
        <f t="shared" si="5"/>
        <v>1.6289999999571592E-2</v>
      </c>
      <c r="O32">
        <f t="shared" ca="1" si="3"/>
        <v>2.2621194903091522E-2</v>
      </c>
      <c r="Q32" s="2">
        <f t="shared" si="4"/>
        <v>18454.978999999999</v>
      </c>
    </row>
    <row r="33" spans="1:17" x14ac:dyDescent="0.2">
      <c r="A33" t="s">
        <v>57</v>
      </c>
      <c r="B33" t="s">
        <v>44</v>
      </c>
      <c r="C33" s="8">
        <v>33514.410000000003</v>
      </c>
      <c r="D33" s="8" t="s">
        <v>35</v>
      </c>
      <c r="E33">
        <f t="shared" si="0"/>
        <v>3908.9802331425476</v>
      </c>
      <c r="F33">
        <f t="shared" si="1"/>
        <v>3909</v>
      </c>
      <c r="G33">
        <f t="shared" si="2"/>
        <v>-4.050999999162741E-2</v>
      </c>
      <c r="I33">
        <f t="shared" si="5"/>
        <v>-4.050999999162741E-2</v>
      </c>
      <c r="O33">
        <f t="shared" ca="1" si="3"/>
        <v>2.2905176152336261E-2</v>
      </c>
      <c r="Q33" s="2">
        <f t="shared" si="4"/>
        <v>18495.910000000003</v>
      </c>
    </row>
    <row r="34" spans="1:17" x14ac:dyDescent="0.2">
      <c r="A34" t="s">
        <v>100</v>
      </c>
      <c r="B34" t="s">
        <v>112</v>
      </c>
      <c r="C34" s="8">
        <v>42639.362999999998</v>
      </c>
      <c r="D34" s="8" t="s">
        <v>35</v>
      </c>
      <c r="E34">
        <f t="shared" si="0"/>
        <v>8361.5017151445063</v>
      </c>
      <c r="F34">
        <f t="shared" si="1"/>
        <v>8361.5</v>
      </c>
      <c r="G34">
        <f t="shared" si="2"/>
        <v>3.5150000039720908E-3</v>
      </c>
      <c r="I34">
        <f t="shared" si="5"/>
        <v>3.5150000039720908E-3</v>
      </c>
      <c r="O34">
        <f t="shared" ca="1" si="3"/>
        <v>8.61265017654472E-2</v>
      </c>
      <c r="Q34" s="2">
        <f t="shared" si="4"/>
        <v>27620.862999999998</v>
      </c>
    </row>
    <row r="35" spans="1:17" x14ac:dyDescent="0.2">
      <c r="A35" t="s">
        <v>104</v>
      </c>
      <c r="B35" t="s">
        <v>112</v>
      </c>
      <c r="C35" s="8">
        <v>43721.432999999997</v>
      </c>
      <c r="D35" s="8" t="s">
        <v>35</v>
      </c>
      <c r="E35">
        <f t="shared" si="0"/>
        <v>8889.4978505799281</v>
      </c>
      <c r="F35">
        <f t="shared" si="1"/>
        <v>8889.5</v>
      </c>
      <c r="G35">
        <f t="shared" si="2"/>
        <v>-4.4049999996786937E-3</v>
      </c>
      <c r="I35">
        <f t="shared" si="5"/>
        <v>-4.4049999996786937E-3</v>
      </c>
      <c r="O35">
        <f t="shared" ca="1" si="3"/>
        <v>9.3623606745508403E-2</v>
      </c>
      <c r="Q35" s="2">
        <f t="shared" si="4"/>
        <v>28702.932999999997</v>
      </c>
    </row>
    <row r="36" spans="1:17" x14ac:dyDescent="0.2">
      <c r="A36" s="41" t="s">
        <v>43</v>
      </c>
      <c r="B36" s="42" t="s">
        <v>44</v>
      </c>
      <c r="C36" s="43">
        <v>57199.47</v>
      </c>
      <c r="D36" s="43">
        <v>0.01</v>
      </c>
      <c r="E36">
        <f t="shared" si="0"/>
        <v>15466.106987932997</v>
      </c>
      <c r="F36">
        <f t="shared" si="1"/>
        <v>15466</v>
      </c>
      <c r="G36">
        <f t="shared" si="2"/>
        <v>0.21926000000530621</v>
      </c>
      <c r="K36">
        <f>+G36</f>
        <v>0.21926000000530621</v>
      </c>
      <c r="O36">
        <f t="shared" ca="1" si="3"/>
        <v>0.18700374102841108</v>
      </c>
      <c r="Q36" s="2">
        <f t="shared" si="4"/>
        <v>42180.97</v>
      </c>
    </row>
    <row r="37" spans="1:17" x14ac:dyDescent="0.2">
      <c r="A37" t="s">
        <v>111</v>
      </c>
      <c r="B37" t="s">
        <v>44</v>
      </c>
      <c r="C37" s="8">
        <v>57199.47</v>
      </c>
      <c r="D37" s="8" t="s">
        <v>35</v>
      </c>
      <c r="E37">
        <f t="shared" si="0"/>
        <v>15466.106987932997</v>
      </c>
      <c r="F37">
        <f t="shared" si="1"/>
        <v>15466</v>
      </c>
      <c r="G37">
        <f t="shared" si="2"/>
        <v>0.21926000000530621</v>
      </c>
      <c r="K37">
        <f>+G37</f>
        <v>0.21926000000530621</v>
      </c>
      <c r="O37">
        <f t="shared" ca="1" si="3"/>
        <v>0.18700374102841108</v>
      </c>
      <c r="Q37" s="2">
        <f t="shared" si="4"/>
        <v>42180.97</v>
      </c>
    </row>
    <row r="38" spans="1:17" ht="13.5" customHeight="1" x14ac:dyDescent="0.2">
      <c r="A38" s="57" t="s">
        <v>116</v>
      </c>
      <c r="B38" s="58" t="s">
        <v>44</v>
      </c>
      <c r="C38" s="59">
        <v>59105.406000000003</v>
      </c>
      <c r="D38" s="59">
        <v>5.0000000000000001E-4</v>
      </c>
      <c r="E38">
        <f>+(C38-C$7)/C$8</f>
        <v>16396.108598168241</v>
      </c>
      <c r="F38">
        <f t="shared" si="1"/>
        <v>16396</v>
      </c>
      <c r="G38">
        <f>+C38-(C$7+F38*C$8)</f>
        <v>0.22256000000925269</v>
      </c>
      <c r="K38">
        <f>+G38</f>
        <v>0.22256000000925269</v>
      </c>
      <c r="O38">
        <f ca="1">+C$11+C$12*$F38</f>
        <v>0.20020886911829161</v>
      </c>
      <c r="Q38" s="2">
        <f>+C38-15018.5</f>
        <v>44086.906000000003</v>
      </c>
    </row>
    <row r="39" spans="1:17" ht="12.75" customHeight="1" x14ac:dyDescent="0.2">
      <c r="A39" s="61" t="s">
        <v>117</v>
      </c>
      <c r="B39" s="60" t="s">
        <v>44</v>
      </c>
      <c r="C39" s="63">
        <v>59437.417800000003</v>
      </c>
      <c r="D39" s="61">
        <v>2.0000000000000001E-4</v>
      </c>
      <c r="E39">
        <f t="shared" ref="E39" si="6">+(C39-C$7)/C$8</f>
        <v>16558.113780198011</v>
      </c>
      <c r="F39">
        <f t="shared" ref="F39" si="7">ROUND(2*E39,0)/2</f>
        <v>16558</v>
      </c>
      <c r="G39">
        <f t="shared" ref="G39" si="8">+C39-(C$7+F39*C$8)</f>
        <v>0.2331800000029034</v>
      </c>
      <c r="K39">
        <f>+G39</f>
        <v>0.2331800000029034</v>
      </c>
      <c r="O39">
        <f t="shared" ref="O39" ca="1" si="9">+C$11+C$12*$F39</f>
        <v>0.20250911723717405</v>
      </c>
      <c r="Q39" s="2">
        <f t="shared" ref="Q39" si="10">+C39-15018.5</f>
        <v>44418.917800000003</v>
      </c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50"/>
  <sheetViews>
    <sheetView workbookViewId="0">
      <selection activeCell="A12" sqref="A12:D2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4" t="s">
        <v>45</v>
      </c>
      <c r="I1" s="45" t="s">
        <v>46</v>
      </c>
      <c r="J1" s="46" t="s">
        <v>37</v>
      </c>
    </row>
    <row r="2" spans="1:16" x14ac:dyDescent="0.2">
      <c r="I2" s="47" t="s">
        <v>47</v>
      </c>
      <c r="J2" s="48" t="s">
        <v>36</v>
      </c>
    </row>
    <row r="3" spans="1:16" x14ac:dyDescent="0.2">
      <c r="A3" s="49" t="s">
        <v>48</v>
      </c>
      <c r="I3" s="47" t="s">
        <v>49</v>
      </c>
      <c r="J3" s="48" t="s">
        <v>34</v>
      </c>
    </row>
    <row r="4" spans="1:16" x14ac:dyDescent="0.2">
      <c r="I4" s="47" t="s">
        <v>50</v>
      </c>
      <c r="J4" s="48" t="s">
        <v>34</v>
      </c>
    </row>
    <row r="5" spans="1:16" ht="13.5" thickBot="1" x14ac:dyDescent="0.25">
      <c r="I5" s="50" t="s">
        <v>51</v>
      </c>
      <c r="J5" s="51" t="s">
        <v>35</v>
      </c>
    </row>
    <row r="10" spans="1:16" ht="13.5" thickBot="1" x14ac:dyDescent="0.25"/>
    <row r="11" spans="1:16" ht="12.75" customHeight="1" thickBot="1" x14ac:dyDescent="0.25">
      <c r="A11" s="8" t="str">
        <f t="shared" ref="A11:A26" si="0">P11</f>
        <v> VSS 2.123 </v>
      </c>
      <c r="B11" s="3" t="str">
        <f t="shared" ref="B11:B26" si="1">IF(H11=INT(H11),"I","II")</f>
        <v>I</v>
      </c>
      <c r="C11" s="8">
        <f t="shared" ref="C11:C26" si="2">1*G11</f>
        <v>25503.319</v>
      </c>
      <c r="D11" s="10" t="str">
        <f t="shared" ref="D11:D26" si="3">VLOOKUP(F11,I$1:J$5,2,FALSE)</f>
        <v>vis</v>
      </c>
      <c r="E11" s="52" t="e">
        <f>VLOOKUP(C11,Active!C$21:E$972,3,FALSE)</f>
        <v>#N/A</v>
      </c>
      <c r="F11" s="3" t="s">
        <v>51</v>
      </c>
      <c r="G11" s="10" t="str">
        <f t="shared" ref="G11:G26" si="4">MID(I11,3,LEN(I11)-3)</f>
        <v>25503.319</v>
      </c>
      <c r="H11" s="8">
        <f t="shared" ref="H11:H26" si="5">1*K11</f>
        <v>-14236</v>
      </c>
      <c r="I11" s="53" t="s">
        <v>52</v>
      </c>
      <c r="J11" s="54" t="s">
        <v>53</v>
      </c>
      <c r="K11" s="53">
        <v>-14236</v>
      </c>
      <c r="L11" s="53" t="s">
        <v>54</v>
      </c>
      <c r="M11" s="54" t="s">
        <v>55</v>
      </c>
      <c r="N11" s="54"/>
      <c r="O11" s="55" t="s">
        <v>56</v>
      </c>
      <c r="P11" s="55" t="s">
        <v>57</v>
      </c>
    </row>
    <row r="12" spans="1:16" ht="12.75" customHeight="1" thickBot="1" x14ac:dyDescent="0.25">
      <c r="A12" s="8" t="str">
        <f t="shared" si="0"/>
        <v> KVBB 19.32 </v>
      </c>
      <c r="B12" s="3" t="str">
        <f t="shared" si="1"/>
        <v>I</v>
      </c>
      <c r="C12" s="8">
        <f t="shared" si="2"/>
        <v>25503.355</v>
      </c>
      <c r="D12" s="10" t="str">
        <f t="shared" si="3"/>
        <v>vis</v>
      </c>
      <c r="E12" s="52">
        <f>VLOOKUP(C12,Active!C$21:E$972,3,FALSE)</f>
        <v>-1.4638502187888029E-2</v>
      </c>
      <c r="F12" s="3" t="s">
        <v>51</v>
      </c>
      <c r="G12" s="10" t="str">
        <f t="shared" si="4"/>
        <v>25503.355</v>
      </c>
      <c r="H12" s="8">
        <f t="shared" si="5"/>
        <v>-14236</v>
      </c>
      <c r="I12" s="53" t="s">
        <v>58</v>
      </c>
      <c r="J12" s="54" t="s">
        <v>59</v>
      </c>
      <c r="K12" s="53">
        <v>-14236</v>
      </c>
      <c r="L12" s="53" t="s">
        <v>60</v>
      </c>
      <c r="M12" s="54" t="s">
        <v>55</v>
      </c>
      <c r="N12" s="54"/>
      <c r="O12" s="55" t="s">
        <v>61</v>
      </c>
      <c r="P12" s="55" t="s">
        <v>62</v>
      </c>
    </row>
    <row r="13" spans="1:16" ht="12.75" customHeight="1" thickBot="1" x14ac:dyDescent="0.25">
      <c r="A13" s="8" t="str">
        <f t="shared" si="0"/>
        <v> KVBB 19.32 </v>
      </c>
      <c r="B13" s="3" t="str">
        <f t="shared" si="1"/>
        <v>I</v>
      </c>
      <c r="C13" s="8">
        <f t="shared" si="2"/>
        <v>25792.446</v>
      </c>
      <c r="D13" s="10" t="str">
        <f t="shared" si="3"/>
        <v>vis</v>
      </c>
      <c r="E13" s="52">
        <f>VLOOKUP(C13,Active!C$21:E$972,3,FALSE)</f>
        <v>141.04733603657749</v>
      </c>
      <c r="F13" s="3" t="s">
        <v>51</v>
      </c>
      <c r="G13" s="10" t="str">
        <f t="shared" si="4"/>
        <v>25792.446</v>
      </c>
      <c r="H13" s="8">
        <f t="shared" si="5"/>
        <v>-14095</v>
      </c>
      <c r="I13" s="53" t="s">
        <v>63</v>
      </c>
      <c r="J13" s="54" t="s">
        <v>64</v>
      </c>
      <c r="K13" s="53">
        <v>-14095</v>
      </c>
      <c r="L13" s="53" t="s">
        <v>65</v>
      </c>
      <c r="M13" s="54" t="s">
        <v>55</v>
      </c>
      <c r="N13" s="54"/>
      <c r="O13" s="55" t="s">
        <v>61</v>
      </c>
      <c r="P13" s="55" t="s">
        <v>62</v>
      </c>
    </row>
    <row r="14" spans="1:16" ht="12.75" customHeight="1" thickBot="1" x14ac:dyDescent="0.25">
      <c r="A14" s="8" t="str">
        <f t="shared" si="0"/>
        <v> KVBB 19.32 </v>
      </c>
      <c r="B14" s="3" t="str">
        <f t="shared" si="1"/>
        <v>I</v>
      </c>
      <c r="C14" s="8">
        <f t="shared" si="2"/>
        <v>25798.444</v>
      </c>
      <c r="D14" s="10" t="str">
        <f t="shared" si="3"/>
        <v>vis</v>
      </c>
      <c r="E14" s="52">
        <f>VLOOKUP(C14,Active!C$21:E$972,3,FALSE)</f>
        <v>143.9740605741226</v>
      </c>
      <c r="F14" s="3" t="s">
        <v>51</v>
      </c>
      <c r="G14" s="10" t="str">
        <f t="shared" si="4"/>
        <v>25798.444</v>
      </c>
      <c r="H14" s="8">
        <f t="shared" si="5"/>
        <v>-14092</v>
      </c>
      <c r="I14" s="53" t="s">
        <v>66</v>
      </c>
      <c r="J14" s="54" t="s">
        <v>67</v>
      </c>
      <c r="K14" s="53">
        <v>-14092</v>
      </c>
      <c r="L14" s="53" t="s">
        <v>68</v>
      </c>
      <c r="M14" s="54" t="s">
        <v>55</v>
      </c>
      <c r="N14" s="54"/>
      <c r="O14" s="55" t="s">
        <v>61</v>
      </c>
      <c r="P14" s="55" t="s">
        <v>62</v>
      </c>
    </row>
    <row r="15" spans="1:16" ht="12.75" customHeight="1" thickBot="1" x14ac:dyDescent="0.25">
      <c r="A15" s="8" t="str">
        <f t="shared" si="0"/>
        <v> KVBB 19.32 </v>
      </c>
      <c r="B15" s="3" t="str">
        <f t="shared" si="1"/>
        <v>I</v>
      </c>
      <c r="C15" s="8">
        <f t="shared" si="2"/>
        <v>25835.404999999999</v>
      </c>
      <c r="D15" s="10" t="str">
        <f t="shared" si="3"/>
        <v>vis</v>
      </c>
      <c r="E15" s="52">
        <f>VLOOKUP(C15,Active!C$21:E$972,3,FALSE)</f>
        <v>162.00918322037313</v>
      </c>
      <c r="F15" s="3" t="s">
        <v>51</v>
      </c>
      <c r="G15" s="10" t="str">
        <f t="shared" si="4"/>
        <v>25835.405</v>
      </c>
      <c r="H15" s="8">
        <f t="shared" si="5"/>
        <v>-14074</v>
      </c>
      <c r="I15" s="53" t="s">
        <v>69</v>
      </c>
      <c r="J15" s="54" t="s">
        <v>70</v>
      </c>
      <c r="K15" s="53">
        <v>-14074</v>
      </c>
      <c r="L15" s="53" t="s">
        <v>71</v>
      </c>
      <c r="M15" s="54" t="s">
        <v>55</v>
      </c>
      <c r="N15" s="54"/>
      <c r="O15" s="55" t="s">
        <v>61</v>
      </c>
      <c r="P15" s="55" t="s">
        <v>62</v>
      </c>
    </row>
    <row r="16" spans="1:16" ht="12.75" customHeight="1" thickBot="1" x14ac:dyDescent="0.25">
      <c r="A16" s="8" t="str">
        <f t="shared" si="0"/>
        <v> VSS 2.123 </v>
      </c>
      <c r="B16" s="3" t="str">
        <f t="shared" si="1"/>
        <v>I</v>
      </c>
      <c r="C16" s="8">
        <f t="shared" si="2"/>
        <v>26095.548999999999</v>
      </c>
      <c r="D16" s="10" t="str">
        <f t="shared" si="3"/>
        <v>vis</v>
      </c>
      <c r="E16" s="52">
        <f>VLOOKUP(C16,Active!C$21:E$972,3,FALSE)</f>
        <v>288.94646699749717</v>
      </c>
      <c r="F16" s="3" t="s">
        <v>51</v>
      </c>
      <c r="G16" s="10" t="str">
        <f t="shared" si="4"/>
        <v>26095.549</v>
      </c>
      <c r="H16" s="8">
        <f t="shared" si="5"/>
        <v>-13947</v>
      </c>
      <c r="I16" s="53" t="s">
        <v>72</v>
      </c>
      <c r="J16" s="54" t="s">
        <v>73</v>
      </c>
      <c r="K16" s="53">
        <v>-13947</v>
      </c>
      <c r="L16" s="53" t="s">
        <v>74</v>
      </c>
      <c r="M16" s="54" t="s">
        <v>55</v>
      </c>
      <c r="N16" s="54"/>
      <c r="O16" s="55" t="s">
        <v>56</v>
      </c>
      <c r="P16" s="55" t="s">
        <v>57</v>
      </c>
    </row>
    <row r="17" spans="1:16" ht="12.75" customHeight="1" thickBot="1" x14ac:dyDescent="0.25">
      <c r="A17" s="8" t="str">
        <f t="shared" si="0"/>
        <v> VSS 2.123 </v>
      </c>
      <c r="B17" s="3" t="str">
        <f t="shared" si="1"/>
        <v>II</v>
      </c>
      <c r="C17" s="8">
        <f t="shared" si="2"/>
        <v>26207.366999999998</v>
      </c>
      <c r="D17" s="10" t="str">
        <f t="shared" si="3"/>
        <v>vis</v>
      </c>
      <c r="E17" s="52">
        <f>VLOOKUP(C17,Active!C$21:E$972,3,FALSE)</f>
        <v>343.50806825445625</v>
      </c>
      <c r="F17" s="3" t="s">
        <v>51</v>
      </c>
      <c r="G17" s="10" t="str">
        <f t="shared" si="4"/>
        <v>26207.367</v>
      </c>
      <c r="H17" s="8">
        <f t="shared" si="5"/>
        <v>-13892.5</v>
      </c>
      <c r="I17" s="53" t="s">
        <v>75</v>
      </c>
      <c r="J17" s="54" t="s">
        <v>76</v>
      </c>
      <c r="K17" s="53">
        <v>-13892.5</v>
      </c>
      <c r="L17" s="53" t="s">
        <v>77</v>
      </c>
      <c r="M17" s="54" t="s">
        <v>55</v>
      </c>
      <c r="N17" s="54"/>
      <c r="O17" s="55" t="s">
        <v>56</v>
      </c>
      <c r="P17" s="55" t="s">
        <v>57</v>
      </c>
    </row>
    <row r="18" spans="1:16" ht="12.75" customHeight="1" thickBot="1" x14ac:dyDescent="0.25">
      <c r="A18" s="8" t="str">
        <f t="shared" si="0"/>
        <v> KVBB 19.32 </v>
      </c>
      <c r="B18" s="3" t="str">
        <f t="shared" si="1"/>
        <v>I</v>
      </c>
      <c r="C18" s="8">
        <f t="shared" si="2"/>
        <v>26247.338</v>
      </c>
      <c r="D18" s="10" t="str">
        <f t="shared" si="3"/>
        <v>vis</v>
      </c>
      <c r="E18" s="52">
        <f>VLOOKUP(C18,Active!C$21:E$972,3,FALSE)</f>
        <v>363.01192062028281</v>
      </c>
      <c r="F18" s="3" t="s">
        <v>51</v>
      </c>
      <c r="G18" s="10" t="str">
        <f t="shared" si="4"/>
        <v>26247.338</v>
      </c>
      <c r="H18" s="8">
        <f t="shared" si="5"/>
        <v>-13873</v>
      </c>
      <c r="I18" s="53" t="s">
        <v>78</v>
      </c>
      <c r="J18" s="54" t="s">
        <v>79</v>
      </c>
      <c r="K18" s="53">
        <v>-13873</v>
      </c>
      <c r="L18" s="53" t="s">
        <v>80</v>
      </c>
      <c r="M18" s="54" t="s">
        <v>55</v>
      </c>
      <c r="N18" s="54"/>
      <c r="O18" s="55" t="s">
        <v>61</v>
      </c>
      <c r="P18" s="55" t="s">
        <v>62</v>
      </c>
    </row>
    <row r="19" spans="1:16" ht="12.75" customHeight="1" thickBot="1" x14ac:dyDescent="0.25">
      <c r="A19" s="8" t="str">
        <f t="shared" si="0"/>
        <v> VSS 2.123 </v>
      </c>
      <c r="B19" s="3" t="str">
        <f t="shared" si="1"/>
        <v>I</v>
      </c>
      <c r="C19" s="8">
        <f t="shared" si="2"/>
        <v>26505.46</v>
      </c>
      <c r="D19" s="10" t="str">
        <f t="shared" si="3"/>
        <v>vis</v>
      </c>
      <c r="E19" s="52">
        <f>VLOOKUP(C19,Active!C$21:E$972,3,FALSE)</f>
        <v>488.96256934990453</v>
      </c>
      <c r="F19" s="3" t="s">
        <v>51</v>
      </c>
      <c r="G19" s="10" t="str">
        <f t="shared" si="4"/>
        <v>26505.460</v>
      </c>
      <c r="H19" s="8">
        <f t="shared" si="5"/>
        <v>-13747</v>
      </c>
      <c r="I19" s="53" t="s">
        <v>81</v>
      </c>
      <c r="J19" s="54" t="s">
        <v>82</v>
      </c>
      <c r="K19" s="53">
        <v>-13747</v>
      </c>
      <c r="L19" s="53" t="s">
        <v>83</v>
      </c>
      <c r="M19" s="54" t="s">
        <v>55</v>
      </c>
      <c r="N19" s="54"/>
      <c r="O19" s="55" t="s">
        <v>56</v>
      </c>
      <c r="P19" s="55" t="s">
        <v>57</v>
      </c>
    </row>
    <row r="20" spans="1:16" ht="12.75" customHeight="1" thickBot="1" x14ac:dyDescent="0.25">
      <c r="A20" s="8" t="str">
        <f t="shared" si="0"/>
        <v> KVBB 19.32 </v>
      </c>
      <c r="B20" s="3" t="str">
        <f t="shared" si="1"/>
        <v>I</v>
      </c>
      <c r="C20" s="8">
        <f t="shared" si="2"/>
        <v>26546.492999999999</v>
      </c>
      <c r="D20" s="10" t="str">
        <f t="shared" si="3"/>
        <v>vis</v>
      </c>
      <c r="E20" s="52">
        <f>VLOOKUP(C20,Active!C$21:E$972,3,FALSE)</f>
        <v>508.98462469320151</v>
      </c>
      <c r="F20" s="3" t="s">
        <v>51</v>
      </c>
      <c r="G20" s="10" t="str">
        <f t="shared" si="4"/>
        <v>26546.493</v>
      </c>
      <c r="H20" s="8">
        <f t="shared" si="5"/>
        <v>-13727</v>
      </c>
      <c r="I20" s="53" t="s">
        <v>84</v>
      </c>
      <c r="J20" s="54" t="s">
        <v>85</v>
      </c>
      <c r="K20" s="53">
        <v>-13727</v>
      </c>
      <c r="L20" s="53" t="s">
        <v>86</v>
      </c>
      <c r="M20" s="54" t="s">
        <v>55</v>
      </c>
      <c r="N20" s="54"/>
      <c r="O20" s="55" t="s">
        <v>61</v>
      </c>
      <c r="P20" s="55" t="s">
        <v>62</v>
      </c>
    </row>
    <row r="21" spans="1:16" ht="12.75" customHeight="1" thickBot="1" x14ac:dyDescent="0.25">
      <c r="A21" s="8" t="str">
        <f t="shared" si="0"/>
        <v> VSS 2.123 </v>
      </c>
      <c r="B21" s="3" t="str">
        <f t="shared" si="1"/>
        <v>I</v>
      </c>
      <c r="C21" s="8">
        <f t="shared" si="2"/>
        <v>31647.452000000001</v>
      </c>
      <c r="D21" s="10" t="str">
        <f t="shared" si="3"/>
        <v>vis</v>
      </c>
      <c r="E21" s="52">
        <f>VLOOKUP(C21,Active!C$21:E$972,3,FALSE)</f>
        <v>2997.9979408506938</v>
      </c>
      <c r="F21" s="3" t="s">
        <v>51</v>
      </c>
      <c r="G21" s="10" t="str">
        <f t="shared" si="4"/>
        <v>31647.452</v>
      </c>
      <c r="H21" s="8">
        <f t="shared" si="5"/>
        <v>-11238</v>
      </c>
      <c r="I21" s="53" t="s">
        <v>87</v>
      </c>
      <c r="J21" s="54" t="s">
        <v>88</v>
      </c>
      <c r="K21" s="53">
        <v>-11238</v>
      </c>
      <c r="L21" s="53" t="s">
        <v>89</v>
      </c>
      <c r="M21" s="54" t="s">
        <v>55</v>
      </c>
      <c r="N21" s="54"/>
      <c r="O21" s="55" t="s">
        <v>56</v>
      </c>
      <c r="P21" s="55" t="s">
        <v>57</v>
      </c>
    </row>
    <row r="22" spans="1:16" ht="12.75" customHeight="1" thickBot="1" x14ac:dyDescent="0.25">
      <c r="A22" s="8" t="str">
        <f t="shared" si="0"/>
        <v> VSS 2.123 </v>
      </c>
      <c r="B22" s="3" t="str">
        <f t="shared" si="1"/>
        <v>I</v>
      </c>
      <c r="C22" s="8">
        <f t="shared" si="2"/>
        <v>33473.478999999999</v>
      </c>
      <c r="D22" s="10" t="str">
        <f t="shared" si="3"/>
        <v>vis</v>
      </c>
      <c r="E22" s="52">
        <f>VLOOKUP(C22,Active!C$21:E$972,3,FALSE)</f>
        <v>3889.0079487066891</v>
      </c>
      <c r="F22" s="3" t="s">
        <v>51</v>
      </c>
      <c r="G22" s="10" t="str">
        <f t="shared" si="4"/>
        <v>33473.479</v>
      </c>
      <c r="H22" s="8">
        <f t="shared" si="5"/>
        <v>-10347</v>
      </c>
      <c r="I22" s="53" t="s">
        <v>90</v>
      </c>
      <c r="J22" s="54" t="s">
        <v>91</v>
      </c>
      <c r="K22" s="53">
        <v>-10347</v>
      </c>
      <c r="L22" s="53" t="s">
        <v>92</v>
      </c>
      <c r="M22" s="54" t="s">
        <v>55</v>
      </c>
      <c r="N22" s="54"/>
      <c r="O22" s="55" t="s">
        <v>56</v>
      </c>
      <c r="P22" s="55" t="s">
        <v>57</v>
      </c>
    </row>
    <row r="23" spans="1:16" ht="12.75" customHeight="1" thickBot="1" x14ac:dyDescent="0.25">
      <c r="A23" s="8" t="str">
        <f t="shared" si="0"/>
        <v> VSS 2.123 </v>
      </c>
      <c r="B23" s="3" t="str">
        <f t="shared" si="1"/>
        <v>I</v>
      </c>
      <c r="C23" s="8">
        <f t="shared" si="2"/>
        <v>33514.410000000003</v>
      </c>
      <c r="D23" s="10" t="str">
        <f t="shared" si="3"/>
        <v>vis</v>
      </c>
      <c r="E23" s="52">
        <f>VLOOKUP(C23,Active!C$21:E$972,3,FALSE)</f>
        <v>3908.9802331425476</v>
      </c>
      <c r="F23" s="3" t="s">
        <v>51</v>
      </c>
      <c r="G23" s="10" t="str">
        <f t="shared" si="4"/>
        <v>33514.410</v>
      </c>
      <c r="H23" s="8">
        <f t="shared" si="5"/>
        <v>-10327</v>
      </c>
      <c r="I23" s="53" t="s">
        <v>93</v>
      </c>
      <c r="J23" s="54" t="s">
        <v>94</v>
      </c>
      <c r="K23" s="53">
        <v>-10327</v>
      </c>
      <c r="L23" s="53" t="s">
        <v>74</v>
      </c>
      <c r="M23" s="54" t="s">
        <v>55</v>
      </c>
      <c r="N23" s="54"/>
      <c r="O23" s="55" t="s">
        <v>56</v>
      </c>
      <c r="P23" s="55" t="s">
        <v>57</v>
      </c>
    </row>
    <row r="24" spans="1:16" ht="12.75" customHeight="1" thickBot="1" x14ac:dyDescent="0.25">
      <c r="A24" s="8" t="str">
        <f t="shared" si="0"/>
        <v> MVS 7.149 </v>
      </c>
      <c r="B24" s="3" t="str">
        <f t="shared" si="1"/>
        <v>II</v>
      </c>
      <c r="C24" s="8">
        <f t="shared" si="2"/>
        <v>42639.362999999998</v>
      </c>
      <c r="D24" s="10" t="str">
        <f t="shared" si="3"/>
        <v>vis</v>
      </c>
      <c r="E24" s="52">
        <f>VLOOKUP(C24,Active!C$21:E$972,3,FALSE)</f>
        <v>8361.5017151445063</v>
      </c>
      <c r="F24" s="3" t="s">
        <v>51</v>
      </c>
      <c r="G24" s="10" t="str">
        <f t="shared" si="4"/>
        <v>42639.363</v>
      </c>
      <c r="H24" s="8">
        <f t="shared" si="5"/>
        <v>-5874.5</v>
      </c>
      <c r="I24" s="53" t="s">
        <v>95</v>
      </c>
      <c r="J24" s="54" t="s">
        <v>96</v>
      </c>
      <c r="K24" s="53">
        <v>-5874.5</v>
      </c>
      <c r="L24" s="53" t="s">
        <v>97</v>
      </c>
      <c r="M24" s="54" t="s">
        <v>98</v>
      </c>
      <c r="N24" s="54"/>
      <c r="O24" s="55" t="s">
        <v>99</v>
      </c>
      <c r="P24" s="55" t="s">
        <v>100</v>
      </c>
    </row>
    <row r="25" spans="1:16" ht="12.75" customHeight="1" thickBot="1" x14ac:dyDescent="0.25">
      <c r="A25" s="8" t="str">
        <f t="shared" si="0"/>
        <v> MVS 8.136 </v>
      </c>
      <c r="B25" s="3" t="str">
        <f t="shared" si="1"/>
        <v>II</v>
      </c>
      <c r="C25" s="8">
        <f t="shared" si="2"/>
        <v>43721.432999999997</v>
      </c>
      <c r="D25" s="10" t="str">
        <f t="shared" si="3"/>
        <v>vis</v>
      </c>
      <c r="E25" s="52">
        <f>VLOOKUP(C25,Active!C$21:E$972,3,FALSE)</f>
        <v>8889.4978505799281</v>
      </c>
      <c r="F25" s="3" t="s">
        <v>51</v>
      </c>
      <c r="G25" s="10" t="str">
        <f t="shared" si="4"/>
        <v>43721.433</v>
      </c>
      <c r="H25" s="8">
        <f t="shared" si="5"/>
        <v>-5346.5</v>
      </c>
      <c r="I25" s="53" t="s">
        <v>101</v>
      </c>
      <c r="J25" s="54" t="s">
        <v>102</v>
      </c>
      <c r="K25" s="53">
        <v>-5346.5</v>
      </c>
      <c r="L25" s="53" t="s">
        <v>103</v>
      </c>
      <c r="M25" s="54" t="s">
        <v>98</v>
      </c>
      <c r="N25" s="54"/>
      <c r="O25" s="55" t="s">
        <v>99</v>
      </c>
      <c r="P25" s="55" t="s">
        <v>104</v>
      </c>
    </row>
    <row r="26" spans="1:16" ht="12.75" customHeight="1" thickBot="1" x14ac:dyDescent="0.25">
      <c r="A26" s="8" t="str">
        <f t="shared" si="0"/>
        <v>OEJV 0172 </v>
      </c>
      <c r="B26" s="3" t="str">
        <f t="shared" si="1"/>
        <v>I</v>
      </c>
      <c r="C26" s="8">
        <f t="shared" si="2"/>
        <v>57199.47</v>
      </c>
      <c r="D26" s="10" t="str">
        <f t="shared" si="3"/>
        <v>vis</v>
      </c>
      <c r="E26" s="52">
        <f>VLOOKUP(C26,Active!C$21:E$972,3,FALSE)</f>
        <v>15466.106987932997</v>
      </c>
      <c r="F26" s="3" t="s">
        <v>51</v>
      </c>
      <c r="G26" s="10" t="str">
        <f t="shared" si="4"/>
        <v>57199.470</v>
      </c>
      <c r="H26" s="8">
        <f t="shared" si="5"/>
        <v>1230</v>
      </c>
      <c r="I26" s="53" t="s">
        <v>105</v>
      </c>
      <c r="J26" s="54" t="s">
        <v>106</v>
      </c>
      <c r="K26" s="53">
        <v>1230</v>
      </c>
      <c r="L26" s="53" t="s">
        <v>107</v>
      </c>
      <c r="M26" s="54" t="s">
        <v>108</v>
      </c>
      <c r="N26" s="54" t="s">
        <v>109</v>
      </c>
      <c r="O26" s="55" t="s">
        <v>110</v>
      </c>
      <c r="P26" s="56" t="s">
        <v>111</v>
      </c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</sheetData>
  <phoneticPr fontId="7" type="noConversion"/>
  <hyperlinks>
    <hyperlink ref="A3" r:id="rId1" xr:uid="{00000000-0004-0000-0100-000000000000}"/>
    <hyperlink ref="P26" r:id="rId2" display="http://var.astro.cz/oejv/issues/oejv0172.pdf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2024-01-11T03:24:28Z</dcterms:modified>
</cp:coreProperties>
</file>