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AF642DF-BA62-4CB0-B9A6-6785E4A4869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E33" i="1"/>
  <c r="F33" i="1"/>
  <c r="Q22" i="1"/>
  <c r="Q23" i="1"/>
  <c r="Q24" i="1"/>
  <c r="Q25" i="1"/>
  <c r="Q26" i="1"/>
  <c r="Q27" i="1"/>
  <c r="Q28" i="1"/>
  <c r="Q29" i="1"/>
  <c r="Q30" i="1"/>
  <c r="Q31" i="1"/>
  <c r="Q33" i="1"/>
  <c r="Q34" i="1"/>
  <c r="G14" i="2"/>
  <c r="C14" i="2"/>
  <c r="G15" i="2"/>
  <c r="C15" i="2"/>
  <c r="E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11" i="2"/>
  <c r="C11" i="2"/>
  <c r="G23" i="2"/>
  <c r="C23" i="2"/>
  <c r="E23" i="2"/>
  <c r="G24" i="2"/>
  <c r="C24" i="2"/>
  <c r="G12" i="2"/>
  <c r="C12" i="2"/>
  <c r="G13" i="2"/>
  <c r="C13" i="2"/>
  <c r="H12" i="2"/>
  <c r="D12" i="2"/>
  <c r="B12" i="2"/>
  <c r="A12" i="2"/>
  <c r="H24" i="2"/>
  <c r="D24" i="2"/>
  <c r="B24" i="2"/>
  <c r="A24" i="2"/>
  <c r="H23" i="2"/>
  <c r="D23" i="2"/>
  <c r="B23" i="2"/>
  <c r="A23" i="2"/>
  <c r="H11" i="2"/>
  <c r="D11" i="2"/>
  <c r="B11" i="2"/>
  <c r="A11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F11" i="1"/>
  <c r="E14" i="1"/>
  <c r="G11" i="1"/>
  <c r="Q35" i="1"/>
  <c r="C17" i="1"/>
  <c r="Q32" i="1"/>
  <c r="C7" i="1"/>
  <c r="E22" i="1"/>
  <c r="F22" i="1"/>
  <c r="C8" i="1"/>
  <c r="Q21" i="1"/>
  <c r="E17" i="2"/>
  <c r="E13" i="2"/>
  <c r="E20" i="2"/>
  <c r="E14" i="2"/>
  <c r="E18" i="2"/>
  <c r="E29" i="1"/>
  <c r="F29" i="1"/>
  <c r="E21" i="1"/>
  <c r="F21" i="1"/>
  <c r="G21" i="1"/>
  <c r="E26" i="1"/>
  <c r="F26" i="1"/>
  <c r="G26" i="1"/>
  <c r="I26" i="1"/>
  <c r="E31" i="1"/>
  <c r="F31" i="1"/>
  <c r="G31" i="1"/>
  <c r="I31" i="1"/>
  <c r="E23" i="1"/>
  <c r="F23" i="1"/>
  <c r="G23" i="1"/>
  <c r="I23" i="1"/>
  <c r="E35" i="1"/>
  <c r="F35" i="1"/>
  <c r="G35" i="1"/>
  <c r="K35" i="1"/>
  <c r="E28" i="1"/>
  <c r="F28" i="1"/>
  <c r="G28" i="1"/>
  <c r="I28" i="1"/>
  <c r="E34" i="1"/>
  <c r="F34" i="1"/>
  <c r="G34" i="1"/>
  <c r="I34" i="1"/>
  <c r="E25" i="1"/>
  <c r="F25" i="1"/>
  <c r="G25" i="1"/>
  <c r="I25" i="1"/>
  <c r="G22" i="1"/>
  <c r="I22" i="1"/>
  <c r="G33" i="1"/>
  <c r="I33" i="1"/>
  <c r="E30" i="1"/>
  <c r="F30" i="1"/>
  <c r="G30" i="1"/>
  <c r="I30" i="1"/>
  <c r="G24" i="1"/>
  <c r="I24" i="1"/>
  <c r="E32" i="1"/>
  <c r="F32" i="1"/>
  <c r="G32" i="1"/>
  <c r="I32" i="1"/>
  <c r="G29" i="1"/>
  <c r="I29" i="1"/>
  <c r="E27" i="1"/>
  <c r="F27" i="1"/>
  <c r="G27" i="1"/>
  <c r="I27" i="1"/>
  <c r="H21" i="1"/>
  <c r="E12" i="2"/>
  <c r="E11" i="2"/>
  <c r="E21" i="2"/>
  <c r="E24" i="2"/>
  <c r="E22" i="2"/>
  <c r="E19" i="2"/>
  <c r="E16" i="2"/>
  <c r="C11" i="1"/>
  <c r="E15" i="1" l="1"/>
  <c r="C12" i="1"/>
  <c r="C16" i="1" l="1"/>
  <c r="D18" i="1" s="1"/>
  <c r="O22" i="1"/>
  <c r="O29" i="1"/>
  <c r="O35" i="1"/>
  <c r="C15" i="1"/>
  <c r="O25" i="1"/>
  <c r="O34" i="1"/>
  <c r="O26" i="1"/>
  <c r="O32" i="1"/>
  <c r="O30" i="1"/>
  <c r="O33" i="1"/>
  <c r="O31" i="1"/>
  <c r="O28" i="1"/>
  <c r="O24" i="1"/>
  <c r="O23" i="1"/>
  <c r="O21" i="1"/>
  <c r="O27" i="1"/>
  <c r="C18" i="1" l="1"/>
  <c r="E16" i="1"/>
  <c r="E17" i="1" s="1"/>
</calcChain>
</file>

<file path=xl/sharedStrings.xml><?xml version="1.0" encoding="utf-8"?>
<sst xmlns="http://schemas.openxmlformats.org/spreadsheetml/2006/main" count="202" uniqueCount="115">
  <si>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</si>
  <si>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</si>
  <si>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</si>
  <si>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</si>
  <si>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</si>
  <si>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</si>
  <si>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</si>
  <si>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</si>
  <si>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</si>
  <si>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</si>
  <si>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</si>
  <si>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</si>
  <si>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</si>
  <si>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</si>
  <si>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</si>
  <si>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</si>
  <si>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</si>
  <si>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</si>
  <si>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</si>
  <si>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</si>
  <si>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</si>
  <si>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</si>
  <si>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</si>
  <si>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</si>
  <si>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</si>
  <si>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</si>
  <si>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Locher K</t>
  </si>
  <si>
    <t>BBSAG Bull.56</t>
  </si>
  <si>
    <t>B</t>
  </si>
  <si>
    <t># of data points:</t>
  </si>
  <si>
    <t>EA/SD</t>
  </si>
  <si>
    <t>OEJV 0160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</si>
  <si>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</si>
  <si>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</si>
  <si>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</si>
  <si>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</si>
  <si>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</si>
  <si>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</si>
  <si>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</si>
  <si>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</si>
  <si>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</si>
  <si>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Local time</t>
  </si>
  <si>
    <t>V0420 Aql / GSC 00483-01735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</si>
  <si>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</si>
  <si>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</si>
  <si>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</si>
  <si>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</si>
  <si>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</si>
  <si>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</si>
  <si>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</si>
  <si>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</si>
  <si>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</si>
  <si>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</si>
  <si>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</si>
  <si>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2425410.507 </t>
  </si>
  <si>
    <t> 13.06.1928 00:10 </t>
  </si>
  <si>
    <t> 0.957 </t>
  </si>
  <si>
    <t>P </t>
  </si>
  <si>
    <t> C.Hoffmeister </t>
  </si>
  <si>
    <t> KVBB 19.33 </t>
  </si>
  <si>
    <t>2425827.410 </t>
  </si>
  <si>
    <t> 03.08.1929 21:50 </t>
  </si>
  <si>
    <t> 0.984 </t>
  </si>
  <si>
    <t>2425834.404 </t>
  </si>
  <si>
    <t> 10.08.1929 21:41 </t>
  </si>
  <si>
    <t> 0.912 </t>
  </si>
  <si>
    <t>2426484.516 </t>
  </si>
  <si>
    <t> 23.05.1931 00:23 </t>
  </si>
  <si>
    <t> 0.981 </t>
  </si>
  <si>
    <t> E.Ahnert-Rohlfs </t>
  </si>
  <si>
    <t> VSS 2.128 </t>
  </si>
  <si>
    <t>2426505.460 </t>
  </si>
  <si>
    <t> 12.06.1931 23:02 </t>
  </si>
  <si>
    <t> 0.728 </t>
  </si>
  <si>
    <t>2427240.448 </t>
  </si>
  <si>
    <t> 16.06.1933 22:45 </t>
  </si>
  <si>
    <t> 0.885 </t>
  </si>
  <si>
    <t>2427639.444 </t>
  </si>
  <si>
    <t> 20.07.1934 22:39 </t>
  </si>
  <si>
    <t> 0.670 </t>
  </si>
  <si>
    <t>2431027.289 </t>
  </si>
  <si>
    <t> 29.10.1943 18:56 </t>
  </si>
  <si>
    <t> 0.518 </t>
  </si>
  <si>
    <t>2431670.426 </t>
  </si>
  <si>
    <t> 02.08.1945 22:13 </t>
  </si>
  <si>
    <t> 0.678 </t>
  </si>
  <si>
    <t>2433514.410 </t>
  </si>
  <si>
    <t> 20.08.1950 21:50 </t>
  </si>
  <si>
    <t>2444854.449 </t>
  </si>
  <si>
    <t> 06.09.1981 22:46 </t>
  </si>
  <si>
    <t> 0.131 </t>
  </si>
  <si>
    <t>V </t>
  </si>
  <si>
    <t> K.Locher </t>
  </si>
  <si>
    <t> BBS 56 </t>
  </si>
  <si>
    <t>2454707.4260 </t>
  </si>
  <si>
    <t> 28.08.2008 22:13 </t>
  </si>
  <si>
    <t> 0.0086 </t>
  </si>
  <si>
    <t>C </t>
  </si>
  <si>
    <t>-I</t>
  </si>
  <si>
    <t> F.Agerer </t>
  </si>
  <si>
    <t>BAVM 203 </t>
  </si>
  <si>
    <t>2455795.5330 </t>
  </si>
  <si>
    <t> 22.08.2011 00:47 </t>
  </si>
  <si>
    <t>0</t>
  </si>
  <si>
    <t> 0.0000 </t>
  </si>
  <si>
    <t>BAVM 225 </t>
  </si>
  <si>
    <t>2456159.42867 </t>
  </si>
  <si>
    <t> 19.08.2012 22:17 </t>
  </si>
  <si>
    <t>103</t>
  </si>
  <si>
    <t> 0.01284 </t>
  </si>
  <si>
    <t> J.Trnka </t>
  </si>
  <si>
    <t>OEJV 0160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</si>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</sst>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V420 Aql - O-C Diagr.</a:t>
            </a:r>
          </a:p>
        </c:rich>
      </c:tx>
      <c:layout>
        <c:manualLayout>
          <c:xMode val="edge"/>
          <c:yMode val="edge"/>
          <c:x val="0.3633338582677165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0021972692014"/>
          <c:y val="0.15"/>
          <c:w val="0.815001326499554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118</c:v>
                </c:pt>
                <c:pt idx="3">
                  <c:v>120</c:v>
                </c:pt>
                <c:pt idx="4">
                  <c:v>304</c:v>
                </c:pt>
                <c:pt idx="5">
                  <c:v>310</c:v>
                </c:pt>
                <c:pt idx="6">
                  <c:v>518</c:v>
                </c:pt>
                <c:pt idx="7">
                  <c:v>631</c:v>
                </c:pt>
                <c:pt idx="8">
                  <c:v>1590</c:v>
                </c:pt>
                <c:pt idx="9">
                  <c:v>1772</c:v>
                </c:pt>
                <c:pt idx="10">
                  <c:v>2294</c:v>
                </c:pt>
                <c:pt idx="11">
                  <c:v>5504</c:v>
                </c:pt>
                <c:pt idx="12">
                  <c:v>8293</c:v>
                </c:pt>
                <c:pt idx="13">
                  <c:v>8601</c:v>
                </c:pt>
                <c:pt idx="14">
                  <c:v>8704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8-4DFD-ABD7-64CEC7C936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118</c:v>
                </c:pt>
                <c:pt idx="3">
                  <c:v>120</c:v>
                </c:pt>
                <c:pt idx="4">
                  <c:v>304</c:v>
                </c:pt>
                <c:pt idx="5">
                  <c:v>310</c:v>
                </c:pt>
                <c:pt idx="6">
                  <c:v>518</c:v>
                </c:pt>
                <c:pt idx="7">
                  <c:v>631</c:v>
                </c:pt>
                <c:pt idx="8">
                  <c:v>1590</c:v>
                </c:pt>
                <c:pt idx="9">
                  <c:v>1772</c:v>
                </c:pt>
                <c:pt idx="10">
                  <c:v>2294</c:v>
                </c:pt>
                <c:pt idx="11">
                  <c:v>5504</c:v>
                </c:pt>
                <c:pt idx="12">
                  <c:v>8293</c:v>
                </c:pt>
                <c:pt idx="13">
                  <c:v>8601</c:v>
                </c:pt>
                <c:pt idx="14">
                  <c:v>8704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2.2000000000844011E-2</c:v>
                </c:pt>
                <c:pt idx="2">
                  <c:v>6.6635999999562046E-2</c:v>
                </c:pt>
                <c:pt idx="3">
                  <c:v>-4.7600000034435652E-3</c:v>
                </c:pt>
                <c:pt idx="4">
                  <c:v>9.0807999997196021E-2</c:v>
                </c:pt>
                <c:pt idx="5">
                  <c:v>-0.16138000000137254</c:v>
                </c:pt>
                <c:pt idx="6">
                  <c:v>2.543599999989965E-2</c:v>
                </c:pt>
                <c:pt idx="7">
                  <c:v>-0.17343800000162446</c:v>
                </c:pt>
                <c:pt idx="8">
                  <c:v>-0.18581999999878462</c:v>
                </c:pt>
                <c:pt idx="9">
                  <c:v>1.4399999781744555E-4</c:v>
                </c:pt>
                <c:pt idx="10">
                  <c:v>-8.4211999994295184E-2</c:v>
                </c:pt>
                <c:pt idx="11">
                  <c:v>-5.7920000035664998E-3</c:v>
                </c:pt>
                <c:pt idx="12">
                  <c:v>0.27648599999520229</c:v>
                </c:pt>
                <c:pt idx="13">
                  <c:v>0.31250200000795303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48-4DFD-ABD7-64CEC7C936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118</c:v>
                </c:pt>
                <c:pt idx="3">
                  <c:v>120</c:v>
                </c:pt>
                <c:pt idx="4">
                  <c:v>304</c:v>
                </c:pt>
                <c:pt idx="5">
                  <c:v>310</c:v>
                </c:pt>
                <c:pt idx="6">
                  <c:v>518</c:v>
                </c:pt>
                <c:pt idx="7">
                  <c:v>631</c:v>
                </c:pt>
                <c:pt idx="8">
                  <c:v>1590</c:v>
                </c:pt>
                <c:pt idx="9">
                  <c:v>1772</c:v>
                </c:pt>
                <c:pt idx="10">
                  <c:v>2294</c:v>
                </c:pt>
                <c:pt idx="11">
                  <c:v>5504</c:v>
                </c:pt>
                <c:pt idx="12">
                  <c:v>8293</c:v>
                </c:pt>
                <c:pt idx="13">
                  <c:v>8601</c:v>
                </c:pt>
                <c:pt idx="14">
                  <c:v>8704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48-4DFD-ABD7-64CEC7C936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118</c:v>
                </c:pt>
                <c:pt idx="3">
                  <c:v>120</c:v>
                </c:pt>
                <c:pt idx="4">
                  <c:v>304</c:v>
                </c:pt>
                <c:pt idx="5">
                  <c:v>310</c:v>
                </c:pt>
                <c:pt idx="6">
                  <c:v>518</c:v>
                </c:pt>
                <c:pt idx="7">
                  <c:v>631</c:v>
                </c:pt>
                <c:pt idx="8">
                  <c:v>1590</c:v>
                </c:pt>
                <c:pt idx="9">
                  <c:v>1772</c:v>
                </c:pt>
                <c:pt idx="10">
                  <c:v>2294</c:v>
                </c:pt>
                <c:pt idx="11">
                  <c:v>5504</c:v>
                </c:pt>
                <c:pt idx="12">
                  <c:v>8293</c:v>
                </c:pt>
                <c:pt idx="13">
                  <c:v>8601</c:v>
                </c:pt>
                <c:pt idx="14">
                  <c:v>8704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">
                  <c:v>0.34027800000330899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48-4DFD-ABD7-64CEC7C936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118</c:v>
                </c:pt>
                <c:pt idx="3">
                  <c:v>120</c:v>
                </c:pt>
                <c:pt idx="4">
                  <c:v>304</c:v>
                </c:pt>
                <c:pt idx="5">
                  <c:v>310</c:v>
                </c:pt>
                <c:pt idx="6">
                  <c:v>518</c:v>
                </c:pt>
                <c:pt idx="7">
                  <c:v>631</c:v>
                </c:pt>
                <c:pt idx="8">
                  <c:v>1590</c:v>
                </c:pt>
                <c:pt idx="9">
                  <c:v>1772</c:v>
                </c:pt>
                <c:pt idx="10">
                  <c:v>2294</c:v>
                </c:pt>
                <c:pt idx="11">
                  <c:v>5504</c:v>
                </c:pt>
                <c:pt idx="12">
                  <c:v>8293</c:v>
                </c:pt>
                <c:pt idx="13">
                  <c:v>8601</c:v>
                </c:pt>
                <c:pt idx="14">
                  <c:v>8704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48-4DFD-ABD7-64CEC7C936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118</c:v>
                </c:pt>
                <c:pt idx="3">
                  <c:v>120</c:v>
                </c:pt>
                <c:pt idx="4">
                  <c:v>304</c:v>
                </c:pt>
                <c:pt idx="5">
                  <c:v>310</c:v>
                </c:pt>
                <c:pt idx="6">
                  <c:v>518</c:v>
                </c:pt>
                <c:pt idx="7">
                  <c:v>631</c:v>
                </c:pt>
                <c:pt idx="8">
                  <c:v>1590</c:v>
                </c:pt>
                <c:pt idx="9">
                  <c:v>1772</c:v>
                </c:pt>
                <c:pt idx="10">
                  <c:v>2294</c:v>
                </c:pt>
                <c:pt idx="11">
                  <c:v>5504</c:v>
                </c:pt>
                <c:pt idx="12">
                  <c:v>8293</c:v>
                </c:pt>
                <c:pt idx="13">
                  <c:v>8601</c:v>
                </c:pt>
                <c:pt idx="14">
                  <c:v>8704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48-4DFD-ABD7-64CEC7C936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118</c:v>
                </c:pt>
                <c:pt idx="3">
                  <c:v>120</c:v>
                </c:pt>
                <c:pt idx="4">
                  <c:v>304</c:v>
                </c:pt>
                <c:pt idx="5">
                  <c:v>310</c:v>
                </c:pt>
                <c:pt idx="6">
                  <c:v>518</c:v>
                </c:pt>
                <c:pt idx="7">
                  <c:v>631</c:v>
                </c:pt>
                <c:pt idx="8">
                  <c:v>1590</c:v>
                </c:pt>
                <c:pt idx="9">
                  <c:v>1772</c:v>
                </c:pt>
                <c:pt idx="10">
                  <c:v>2294</c:v>
                </c:pt>
                <c:pt idx="11">
                  <c:v>5504</c:v>
                </c:pt>
                <c:pt idx="12">
                  <c:v>8293</c:v>
                </c:pt>
                <c:pt idx="13">
                  <c:v>8601</c:v>
                </c:pt>
                <c:pt idx="14">
                  <c:v>8704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48-4DFD-ABD7-64CEC7C936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118</c:v>
                </c:pt>
                <c:pt idx="3">
                  <c:v>120</c:v>
                </c:pt>
                <c:pt idx="4">
                  <c:v>304</c:v>
                </c:pt>
                <c:pt idx="5">
                  <c:v>310</c:v>
                </c:pt>
                <c:pt idx="6">
                  <c:v>518</c:v>
                </c:pt>
                <c:pt idx="7">
                  <c:v>631</c:v>
                </c:pt>
                <c:pt idx="8">
                  <c:v>1590</c:v>
                </c:pt>
                <c:pt idx="9">
                  <c:v>1772</c:v>
                </c:pt>
                <c:pt idx="10">
                  <c:v>2294</c:v>
                </c:pt>
                <c:pt idx="11">
                  <c:v>5504</c:v>
                </c:pt>
                <c:pt idx="12">
                  <c:v>8293</c:v>
                </c:pt>
                <c:pt idx="13">
                  <c:v>8601</c:v>
                </c:pt>
                <c:pt idx="14">
                  <c:v>8704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-6.1540698219672701E-2</c:v>
                </c:pt>
                <c:pt idx="1">
                  <c:v>-6.1540698219672701E-2</c:v>
                </c:pt>
                <c:pt idx="2">
                  <c:v>-5.7150599923827428E-2</c:v>
                </c:pt>
                <c:pt idx="3">
                  <c:v>-5.7076191478135141E-2</c:v>
                </c:pt>
                <c:pt idx="4">
                  <c:v>-5.0230614474444206E-2</c:v>
                </c:pt>
                <c:pt idx="5">
                  <c:v>-5.0007389137367325E-2</c:v>
                </c:pt>
                <c:pt idx="6">
                  <c:v>-4.2268910785368888E-2</c:v>
                </c:pt>
                <c:pt idx="7">
                  <c:v>-3.8064833603754344E-2</c:v>
                </c:pt>
                <c:pt idx="8">
                  <c:v>-2.3859838942999756E-3</c:v>
                </c:pt>
                <c:pt idx="9">
                  <c:v>4.3851846636986658E-3</c:v>
                </c:pt>
                <c:pt idx="10">
                  <c:v>2.3805788989387067E-2</c:v>
                </c:pt>
                <c:pt idx="11">
                  <c:v>0.1432313443255169</c:v>
                </c:pt>
                <c:pt idx="12">
                  <c:v>0.24699392184341915</c:v>
                </c:pt>
                <c:pt idx="13">
                  <c:v>0.25845282248003221</c:v>
                </c:pt>
                <c:pt idx="14">
                  <c:v>0.2622848574331853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48-4DFD-ABD7-64CEC7C9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287776"/>
        <c:axId val="1"/>
      </c:scatterChart>
      <c:valAx>
        <c:axId val="57528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8748906387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287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00034995625546"/>
          <c:y val="0.91874999999999996"/>
          <c:w val="0.6766677165354330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18</xdr:col>
      <xdr:colOff>9525</xdr:colOff>
      <xdr:row>17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C46AFE-8CDF-31D7-A52D-FF9B80CBE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selection activeCell="E3" sqref="E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25</v>
      </c>
      <c r="B2" s="14" t="s">
        <v>30</v>
      </c>
    </row>
    <row r="4" spans="1:7">
      <c r="A4" s="8" t="s">
        <v>0</v>
      </c>
      <c r="C4" s="3">
        <v>25410.485000000001</v>
      </c>
      <c r="D4" s="4">
        <v>3.5326979999999999</v>
      </c>
    </row>
    <row r="6" spans="1:7">
      <c r="A6" s="8" t="s">
        <v>1</v>
      </c>
    </row>
    <row r="7" spans="1:7">
      <c r="A7" t="s">
        <v>2</v>
      </c>
      <c r="C7">
        <f>+C4</f>
        <v>25410.485000000001</v>
      </c>
    </row>
    <row r="8" spans="1:7">
      <c r="A8" t="s">
        <v>3</v>
      </c>
      <c r="C8">
        <f>+D4</f>
        <v>3.5326979999999999</v>
      </c>
    </row>
    <row r="9" spans="1:7">
      <c r="A9" s="18" t="s">
        <v>33</v>
      </c>
      <c r="B9" s="19"/>
      <c r="C9" s="20">
        <v>-9.5</v>
      </c>
      <c r="D9" s="19" t="s">
        <v>34</v>
      </c>
      <c r="E9" s="19"/>
    </row>
    <row r="10" spans="1:7" ht="13.5" thickBot="1">
      <c r="C10" s="7" t="s">
        <v>20</v>
      </c>
      <c r="D10" s="7" t="s">
        <v>21</v>
      </c>
    </row>
    <row r="11" spans="1:7">
      <c r="A11" t="s">
        <v>16</v>
      </c>
      <c r="C11" s="29">
        <f ca="1">INTERCEPT(INDIRECT($G$11):G992,INDIRECT($F$11):F992)</f>
        <v>-6.1540698219672701E-2</v>
      </c>
      <c r="D11" s="6"/>
      <c r="F11" s="21" t="str">
        <f>"F"&amp;E19</f>
        <v>F21</v>
      </c>
      <c r="G11" s="22" t="str">
        <f>"G"&amp;E19</f>
        <v>G21</v>
      </c>
    </row>
    <row r="12" spans="1:7">
      <c r="A12" t="s">
        <v>17</v>
      </c>
      <c r="C12" s="29">
        <f ca="1">SLOPE(INDIRECT($G$11):G992,INDIRECT($F$11):F992)</f>
        <v>3.7204222846146367E-5</v>
      </c>
      <c r="D12" s="6"/>
    </row>
    <row r="13" spans="1:7">
      <c r="A13" t="s">
        <v>19</v>
      </c>
      <c r="C13" s="6" t="s">
        <v>14</v>
      </c>
      <c r="D13" s="25" t="s">
        <v>36</v>
      </c>
      <c r="E13" s="20">
        <v>1</v>
      </c>
    </row>
    <row r="14" spans="1:7">
      <c r="A14" t="s">
        <v>24</v>
      </c>
      <c r="D14" s="25" t="s">
        <v>37</v>
      </c>
      <c r="E14" s="26">
        <f ca="1">NOW()+15018.5+$C$9/24</f>
        <v>60320.687578935183</v>
      </c>
    </row>
    <row r="15" spans="1:7">
      <c r="A15" s="5" t="s">
        <v>18</v>
      </c>
      <c r="C15" s="11">
        <f ca="1">(C7+C11)+(C8+C12)*INT(MAX(F21:F3533))</f>
        <v>56159.35067685743</v>
      </c>
      <c r="D15" s="25" t="s">
        <v>38</v>
      </c>
      <c r="E15" s="26">
        <f ca="1">ROUND(2*(E14-$C$7)/$C$8,0)/2+E13</f>
        <v>9883</v>
      </c>
    </row>
    <row r="16" spans="1:7">
      <c r="A16" s="8" t="s">
        <v>4</v>
      </c>
      <c r="C16" s="12">
        <f ca="1">+C8+C12</f>
        <v>3.5327352042228459</v>
      </c>
      <c r="D16" s="25" t="s">
        <v>39</v>
      </c>
      <c r="E16" s="22">
        <f ca="1">ROUND(2*(E14-$C$15)/$C$16,0)/2+E13</f>
        <v>1179</v>
      </c>
    </row>
    <row r="17" spans="1:30" ht="13.5" thickBot="1">
      <c r="A17" s="13" t="s">
        <v>29</v>
      </c>
      <c r="C17">
        <f>COUNT(C21:C2191)</f>
        <v>15</v>
      </c>
      <c r="D17" s="25" t="s">
        <v>40</v>
      </c>
      <c r="E17" s="27">
        <f ca="1">+$C$15+$C$16*E16-15018.5-$C$9/24</f>
        <v>45306.341315969497</v>
      </c>
    </row>
    <row r="18" spans="1:30">
      <c r="A18" s="8" t="s">
        <v>5</v>
      </c>
      <c r="C18" s="3">
        <f ca="1">+C15</f>
        <v>56159.35067685743</v>
      </c>
      <c r="D18" s="4">
        <f ca="1">+C16</f>
        <v>3.5327352042228459</v>
      </c>
      <c r="E18" s="28" t="s">
        <v>41</v>
      </c>
    </row>
    <row r="19" spans="1:30" ht="13.5" thickTop="1">
      <c r="A19" s="23" t="s">
        <v>35</v>
      </c>
      <c r="E19" s="24">
        <v>21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50</v>
      </c>
      <c r="I20" s="10" t="s">
        <v>53</v>
      </c>
      <c r="J20" s="10" t="s">
        <v>47</v>
      </c>
      <c r="K20" s="10" t="s">
        <v>45</v>
      </c>
      <c r="L20" s="10" t="s">
        <v>112</v>
      </c>
      <c r="M20" s="10" t="s">
        <v>113</v>
      </c>
      <c r="N20" s="10" t="s">
        <v>114</v>
      </c>
      <c r="O20" s="10" t="s">
        <v>23</v>
      </c>
      <c r="P20" s="9" t="s">
        <v>22</v>
      </c>
      <c r="Q20" s="7" t="s">
        <v>15</v>
      </c>
    </row>
    <row r="21" spans="1:30">
      <c r="A21" t="s">
        <v>12</v>
      </c>
      <c r="C21" s="30">
        <v>25410.485000000001</v>
      </c>
      <c r="D21" s="30" t="s">
        <v>14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H21">
        <f>+G21</f>
        <v>0</v>
      </c>
      <c r="O21">
        <f t="shared" ref="O21:O35" ca="1" si="3">+C$11+C$12*F21</f>
        <v>-6.1540698219672701E-2</v>
      </c>
      <c r="Q21" s="2">
        <f t="shared" ref="Q21:Q35" si="4">+C21-15018.5</f>
        <v>10391.985000000001</v>
      </c>
    </row>
    <row r="22" spans="1:30">
      <c r="A22" s="22" t="s">
        <v>59</v>
      </c>
      <c r="B22" s="6" t="s">
        <v>32</v>
      </c>
      <c r="C22" s="31">
        <v>25410.507000000001</v>
      </c>
      <c r="D22" s="30" t="s">
        <v>53</v>
      </c>
      <c r="E22">
        <f t="shared" si="0"/>
        <v>6.2275348758495663E-3</v>
      </c>
      <c r="F22">
        <f t="shared" si="1"/>
        <v>0</v>
      </c>
      <c r="G22">
        <f t="shared" si="2"/>
        <v>2.2000000000844011E-2</v>
      </c>
      <c r="I22">
        <f t="shared" ref="I22:I34" si="5">G22</f>
        <v>2.2000000000844011E-2</v>
      </c>
      <c r="O22">
        <f t="shared" ca="1" si="3"/>
        <v>-6.1540698219672701E-2</v>
      </c>
      <c r="Q22" s="2">
        <f t="shared" si="4"/>
        <v>10392.007000000001</v>
      </c>
      <c r="AA22">
        <v>7</v>
      </c>
      <c r="AB22" t="s">
        <v>26</v>
      </c>
      <c r="AD22" t="s">
        <v>28</v>
      </c>
    </row>
    <row r="23" spans="1:30">
      <c r="A23" s="22" t="s">
        <v>59</v>
      </c>
      <c r="B23" s="6" t="s">
        <v>32</v>
      </c>
      <c r="C23" s="31">
        <v>25827.41</v>
      </c>
      <c r="D23" s="30" t="s">
        <v>53</v>
      </c>
      <c r="E23">
        <f t="shared" si="0"/>
        <v>118.01886263699849</v>
      </c>
      <c r="F23">
        <f t="shared" si="1"/>
        <v>118</v>
      </c>
      <c r="G23">
        <f t="shared" si="2"/>
        <v>6.6635999999562046E-2</v>
      </c>
      <c r="I23">
        <f t="shared" si="5"/>
        <v>6.6635999999562046E-2</v>
      </c>
      <c r="O23">
        <f t="shared" ca="1" si="3"/>
        <v>-5.7150599923827428E-2</v>
      </c>
      <c r="Q23" s="2">
        <f t="shared" si="4"/>
        <v>10808.91</v>
      </c>
    </row>
    <row r="24" spans="1:30">
      <c r="A24" s="22" t="s">
        <v>59</v>
      </c>
      <c r="B24" s="6" t="s">
        <v>32</v>
      </c>
      <c r="C24" s="30">
        <v>25834.403999999999</v>
      </c>
      <c r="D24" s="30" t="s">
        <v>53</v>
      </c>
      <c r="E24">
        <f t="shared" si="0"/>
        <v>119.99865258790818</v>
      </c>
      <c r="F24">
        <f t="shared" si="1"/>
        <v>120</v>
      </c>
      <c r="G24">
        <f t="shared" si="2"/>
        <v>-4.7600000034435652E-3</v>
      </c>
      <c r="I24">
        <f t="shared" si="5"/>
        <v>-4.7600000034435652E-3</v>
      </c>
      <c r="O24">
        <f t="shared" ca="1" si="3"/>
        <v>-5.7076191478135141E-2</v>
      </c>
      <c r="Q24" s="2">
        <f t="shared" si="4"/>
        <v>10815.903999999999</v>
      </c>
    </row>
    <row r="25" spans="1:30">
      <c r="A25" s="22" t="s">
        <v>70</v>
      </c>
      <c r="B25" s="6" t="s">
        <v>32</v>
      </c>
      <c r="C25" s="30">
        <v>26484.516</v>
      </c>
      <c r="D25" s="30" t="s">
        <v>53</v>
      </c>
      <c r="E25">
        <f t="shared" si="0"/>
        <v>304.02570499940811</v>
      </c>
      <c r="F25">
        <f t="shared" si="1"/>
        <v>304</v>
      </c>
      <c r="G25">
        <f t="shared" si="2"/>
        <v>9.0807999997196021E-2</v>
      </c>
      <c r="I25">
        <f t="shared" si="5"/>
        <v>9.0807999997196021E-2</v>
      </c>
      <c r="O25">
        <f t="shared" ca="1" si="3"/>
        <v>-5.0230614474444206E-2</v>
      </c>
      <c r="Q25" s="2">
        <f t="shared" si="4"/>
        <v>11466.016</v>
      </c>
    </row>
    <row r="26" spans="1:30">
      <c r="A26" s="22" t="s">
        <v>59</v>
      </c>
      <c r="B26" s="6" t="s">
        <v>32</v>
      </c>
      <c r="C26" s="30">
        <v>26505.46</v>
      </c>
      <c r="D26" s="30" t="s">
        <v>53</v>
      </c>
      <c r="E26">
        <f t="shared" si="0"/>
        <v>309.95431820098935</v>
      </c>
      <c r="F26">
        <f t="shared" si="1"/>
        <v>310</v>
      </c>
      <c r="G26">
        <f t="shared" si="2"/>
        <v>-0.16138000000137254</v>
      </c>
      <c r="I26">
        <f t="shared" si="5"/>
        <v>-0.16138000000137254</v>
      </c>
      <c r="O26">
        <f t="shared" ca="1" si="3"/>
        <v>-5.0007389137367325E-2</v>
      </c>
      <c r="Q26" s="2">
        <f t="shared" si="4"/>
        <v>11486.96</v>
      </c>
    </row>
    <row r="27" spans="1:30">
      <c r="A27" s="22" t="s">
        <v>70</v>
      </c>
      <c r="B27" s="6" t="s">
        <v>32</v>
      </c>
      <c r="C27" s="30">
        <v>27240.448</v>
      </c>
      <c r="D27" s="30" t="s">
        <v>53</v>
      </c>
      <c r="E27">
        <f t="shared" si="0"/>
        <v>518.00720016259527</v>
      </c>
      <c r="F27">
        <f t="shared" si="1"/>
        <v>518</v>
      </c>
      <c r="G27">
        <f t="shared" si="2"/>
        <v>2.543599999989965E-2</v>
      </c>
      <c r="I27">
        <f t="shared" si="5"/>
        <v>2.543599999989965E-2</v>
      </c>
      <c r="O27">
        <f t="shared" ca="1" si="3"/>
        <v>-4.2268910785368888E-2</v>
      </c>
      <c r="Q27" s="2">
        <f t="shared" si="4"/>
        <v>12221.948</v>
      </c>
    </row>
    <row r="28" spans="1:30">
      <c r="A28" s="22" t="s">
        <v>59</v>
      </c>
      <c r="B28" s="6" t="s">
        <v>32</v>
      </c>
      <c r="C28" s="30">
        <v>27639.444</v>
      </c>
      <c r="D28" s="30" t="s">
        <v>53</v>
      </c>
      <c r="E28">
        <f t="shared" si="0"/>
        <v>630.9509049457381</v>
      </c>
      <c r="F28">
        <f t="shared" si="1"/>
        <v>631</v>
      </c>
      <c r="G28">
        <f t="shared" si="2"/>
        <v>-0.17343800000162446</v>
      </c>
      <c r="I28">
        <f t="shared" si="5"/>
        <v>-0.17343800000162446</v>
      </c>
      <c r="O28">
        <f t="shared" ca="1" si="3"/>
        <v>-3.8064833603754344E-2</v>
      </c>
      <c r="Q28" s="2">
        <f t="shared" si="4"/>
        <v>12620.944</v>
      </c>
    </row>
    <row r="29" spans="1:30">
      <c r="A29" s="22" t="s">
        <v>70</v>
      </c>
      <c r="B29" s="6" t="s">
        <v>32</v>
      </c>
      <c r="C29" s="30">
        <v>31027.289000000001</v>
      </c>
      <c r="D29" s="30" t="s">
        <v>53</v>
      </c>
      <c r="E29">
        <f t="shared" si="0"/>
        <v>1589.9473999758825</v>
      </c>
      <c r="F29">
        <f t="shared" si="1"/>
        <v>1590</v>
      </c>
      <c r="G29">
        <f t="shared" si="2"/>
        <v>-0.18581999999878462</v>
      </c>
      <c r="I29">
        <f t="shared" si="5"/>
        <v>-0.18581999999878462</v>
      </c>
      <c r="O29">
        <f t="shared" ca="1" si="3"/>
        <v>-2.3859838942999756E-3</v>
      </c>
      <c r="Q29" s="2">
        <f t="shared" si="4"/>
        <v>16008.789000000001</v>
      </c>
    </row>
    <row r="30" spans="1:30">
      <c r="A30" s="22" t="s">
        <v>70</v>
      </c>
      <c r="B30" s="6" t="s">
        <v>32</v>
      </c>
      <c r="C30" s="30">
        <v>31670.425999999999</v>
      </c>
      <c r="D30" s="30" t="s">
        <v>53</v>
      </c>
      <c r="E30">
        <f t="shared" si="0"/>
        <v>1772.0000407620462</v>
      </c>
      <c r="F30">
        <f t="shared" si="1"/>
        <v>1772</v>
      </c>
      <c r="G30">
        <f t="shared" si="2"/>
        <v>1.4399999781744555E-4</v>
      </c>
      <c r="I30">
        <f t="shared" si="5"/>
        <v>1.4399999781744555E-4</v>
      </c>
      <c r="O30">
        <f t="shared" ca="1" si="3"/>
        <v>4.3851846636986658E-3</v>
      </c>
      <c r="Q30" s="2">
        <f t="shared" si="4"/>
        <v>16651.925999999999</v>
      </c>
    </row>
    <row r="31" spans="1:30">
      <c r="A31" s="22" t="s">
        <v>70</v>
      </c>
      <c r="B31" s="6" t="s">
        <v>32</v>
      </c>
      <c r="C31" s="30">
        <v>33514.410000000003</v>
      </c>
      <c r="D31" s="30" t="s">
        <v>53</v>
      </c>
      <c r="E31">
        <f t="shared" si="0"/>
        <v>2293.9761621287762</v>
      </c>
      <c r="F31">
        <f t="shared" si="1"/>
        <v>2294</v>
      </c>
      <c r="G31">
        <f t="shared" si="2"/>
        <v>-8.4211999994295184E-2</v>
      </c>
      <c r="I31">
        <f t="shared" si="5"/>
        <v>-8.4211999994295184E-2</v>
      </c>
      <c r="O31">
        <f t="shared" ca="1" si="3"/>
        <v>2.3805788989387067E-2</v>
      </c>
      <c r="Q31" s="2">
        <f t="shared" si="4"/>
        <v>18495.910000000003</v>
      </c>
    </row>
    <row r="32" spans="1:30">
      <c r="A32" t="s">
        <v>27</v>
      </c>
      <c r="C32" s="31">
        <v>44854.449000000001</v>
      </c>
      <c r="D32" s="30"/>
      <c r="E32">
        <f t="shared" si="0"/>
        <v>5503.9983604599092</v>
      </c>
      <c r="F32">
        <f t="shared" si="1"/>
        <v>5504</v>
      </c>
      <c r="G32">
        <f t="shared" si="2"/>
        <v>-5.7920000035664998E-3</v>
      </c>
      <c r="I32">
        <f t="shared" si="5"/>
        <v>-5.7920000035664998E-3</v>
      </c>
      <c r="O32">
        <f t="shared" ca="1" si="3"/>
        <v>0.1432313443255169</v>
      </c>
      <c r="Q32" s="2">
        <f t="shared" si="4"/>
        <v>29835.949000000001</v>
      </c>
    </row>
    <row r="33" spans="1:17">
      <c r="A33" s="22" t="s">
        <v>100</v>
      </c>
      <c r="B33" s="6" t="s">
        <v>32</v>
      </c>
      <c r="C33" s="30">
        <v>54707.425999999999</v>
      </c>
      <c r="D33" s="30" t="s">
        <v>53</v>
      </c>
      <c r="E33">
        <f t="shared" si="0"/>
        <v>8293.0782648276181</v>
      </c>
      <c r="F33">
        <f t="shared" si="1"/>
        <v>8293</v>
      </c>
      <c r="G33">
        <f t="shared" si="2"/>
        <v>0.27648599999520229</v>
      </c>
      <c r="I33">
        <f t="shared" si="5"/>
        <v>0.27648599999520229</v>
      </c>
      <c r="O33">
        <f t="shared" ca="1" si="3"/>
        <v>0.24699392184341915</v>
      </c>
      <c r="Q33" s="2">
        <f t="shared" si="4"/>
        <v>39688.925999999999</v>
      </c>
    </row>
    <row r="34" spans="1:17">
      <c r="A34" s="22" t="s">
        <v>105</v>
      </c>
      <c r="B34" s="6" t="s">
        <v>32</v>
      </c>
      <c r="C34" s="30">
        <v>55795.533000000003</v>
      </c>
      <c r="D34" s="30" t="s">
        <v>53</v>
      </c>
      <c r="E34">
        <f t="shared" si="0"/>
        <v>8601.0884598683515</v>
      </c>
      <c r="F34">
        <f t="shared" si="1"/>
        <v>8601</v>
      </c>
      <c r="G34">
        <f t="shared" si="2"/>
        <v>0.31250200000795303</v>
      </c>
      <c r="I34">
        <f t="shared" si="5"/>
        <v>0.31250200000795303</v>
      </c>
      <c r="O34">
        <f t="shared" ca="1" si="3"/>
        <v>0.25845282248003221</v>
      </c>
      <c r="Q34" s="2">
        <f t="shared" si="4"/>
        <v>40777.033000000003</v>
      </c>
    </row>
    <row r="35" spans="1:17">
      <c r="A35" s="15" t="s">
        <v>31</v>
      </c>
      <c r="B35" s="16" t="s">
        <v>32</v>
      </c>
      <c r="C35" s="17">
        <v>56159.428670000001</v>
      </c>
      <c r="D35" s="17">
        <v>1E-4</v>
      </c>
      <c r="E35">
        <f t="shared" si="0"/>
        <v>8704.0963224141997</v>
      </c>
      <c r="F35">
        <f t="shared" si="1"/>
        <v>8704</v>
      </c>
      <c r="G35">
        <f t="shared" si="2"/>
        <v>0.34027800000330899</v>
      </c>
      <c r="K35">
        <f>G35</f>
        <v>0.34027800000330899</v>
      </c>
      <c r="O35">
        <f t="shared" ca="1" si="3"/>
        <v>0.2622848574331853</v>
      </c>
      <c r="Q35" s="2">
        <f t="shared" si="4"/>
        <v>41140.928670000001</v>
      </c>
    </row>
    <row r="36" spans="1:17">
      <c r="D36" s="6"/>
    </row>
    <row r="37" spans="1:17">
      <c r="D37" s="6"/>
    </row>
    <row r="38" spans="1:17">
      <c r="D38" s="6"/>
    </row>
    <row r="39" spans="1:17">
      <c r="D39" s="6"/>
    </row>
    <row r="40" spans="1:17">
      <c r="D40" s="6"/>
    </row>
    <row r="41" spans="1:17">
      <c r="D41" s="6"/>
    </row>
    <row r="42" spans="1:17">
      <c r="D42" s="6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workbookViewId="0">
      <selection activeCell="A13" sqref="A13:D24"/>
    </sheetView>
  </sheetViews>
  <sheetFormatPr defaultRowHeight="12.75"/>
  <cols>
    <col min="1" max="1" width="19.7109375" style="30" customWidth="1"/>
    <col min="2" max="2" width="4.42578125" style="19" customWidth="1"/>
    <col min="3" max="3" width="12.7109375" style="30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30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32" t="s">
        <v>43</v>
      </c>
      <c r="I1" s="33" t="s">
        <v>44</v>
      </c>
      <c r="J1" s="34" t="s">
        <v>45</v>
      </c>
    </row>
    <row r="2" spans="1:16">
      <c r="I2" s="35" t="s">
        <v>46</v>
      </c>
      <c r="J2" s="36" t="s">
        <v>47</v>
      </c>
    </row>
    <row r="3" spans="1:16">
      <c r="A3" s="37" t="s">
        <v>48</v>
      </c>
      <c r="I3" s="35" t="s">
        <v>49</v>
      </c>
      <c r="J3" s="36" t="s">
        <v>50</v>
      </c>
    </row>
    <row r="4" spans="1:16">
      <c r="I4" s="35" t="s">
        <v>51</v>
      </c>
      <c r="J4" s="36" t="s">
        <v>50</v>
      </c>
    </row>
    <row r="5" spans="1:16" ht="13.5" thickBot="1">
      <c r="I5" s="38" t="s">
        <v>52</v>
      </c>
      <c r="J5" s="39" t="s">
        <v>53</v>
      </c>
    </row>
    <row r="10" spans="1:16" ht="13.5" thickBot="1"/>
    <row r="11" spans="1:16" ht="12.75" customHeight="1" thickBot="1">
      <c r="A11" s="30" t="str">
        <f t="shared" ref="A11:A24" si="0">P11</f>
        <v> BBS 56 </v>
      </c>
      <c r="B11" s="6" t="str">
        <f t="shared" ref="B11:B24" si="1">IF(H11=INT(H11),"I","II")</f>
        <v>I</v>
      </c>
      <c r="C11" s="30">
        <f t="shared" ref="C11:C24" si="2">1*G11</f>
        <v>44854.449000000001</v>
      </c>
      <c r="D11" s="19" t="str">
        <f t="shared" ref="D11:D24" si="3">VLOOKUP(F11,I$1:J$5,2,FALSE)</f>
        <v>vis</v>
      </c>
      <c r="E11" s="40">
        <f>VLOOKUP(C11,Active!C$21:E$973,3,FALSE)</f>
        <v>5503.9983604599092</v>
      </c>
      <c r="F11" s="6" t="s">
        <v>52</v>
      </c>
      <c r="G11" s="19" t="str">
        <f t="shared" ref="G11:G24" si="4">MID(I11,3,LEN(I11)-3)</f>
        <v>44854.449</v>
      </c>
      <c r="H11" s="30">
        <f t="shared" ref="H11:H24" si="5">1*K11</f>
        <v>-3097</v>
      </c>
      <c r="I11" s="41" t="s">
        <v>88</v>
      </c>
      <c r="J11" s="42" t="s">
        <v>89</v>
      </c>
      <c r="K11" s="41">
        <v>-3097</v>
      </c>
      <c r="L11" s="41" t="s">
        <v>90</v>
      </c>
      <c r="M11" s="42" t="s">
        <v>91</v>
      </c>
      <c r="N11" s="42"/>
      <c r="O11" s="43" t="s">
        <v>92</v>
      </c>
      <c r="P11" s="43" t="s">
        <v>93</v>
      </c>
    </row>
    <row r="12" spans="1:16" ht="12.75" customHeight="1" thickBot="1">
      <c r="A12" s="30" t="str">
        <f t="shared" si="0"/>
        <v>OEJV 0160 </v>
      </c>
      <c r="B12" s="6" t="str">
        <f t="shared" si="1"/>
        <v>I</v>
      </c>
      <c r="C12" s="30">
        <f t="shared" si="2"/>
        <v>56159.428670000001</v>
      </c>
      <c r="D12" s="19" t="str">
        <f t="shared" si="3"/>
        <v>vis</v>
      </c>
      <c r="E12" s="40">
        <f>VLOOKUP(C12,Active!C$21:E$973,3,FALSE)</f>
        <v>8704.0963224141997</v>
      </c>
      <c r="F12" s="6" t="s">
        <v>52</v>
      </c>
      <c r="G12" s="19" t="str">
        <f t="shared" si="4"/>
        <v>56159.42867</v>
      </c>
      <c r="H12" s="30">
        <f t="shared" si="5"/>
        <v>103</v>
      </c>
      <c r="I12" s="41" t="s">
        <v>106</v>
      </c>
      <c r="J12" s="42" t="s">
        <v>107</v>
      </c>
      <c r="K12" s="41" t="s">
        <v>108</v>
      </c>
      <c r="L12" s="41" t="s">
        <v>109</v>
      </c>
      <c r="M12" s="42" t="s">
        <v>97</v>
      </c>
      <c r="N12" s="42" t="s">
        <v>44</v>
      </c>
      <c r="O12" s="43" t="s">
        <v>110</v>
      </c>
      <c r="P12" s="44" t="s">
        <v>111</v>
      </c>
    </row>
    <row r="13" spans="1:16" ht="12.75" customHeight="1" thickBot="1">
      <c r="A13" s="30" t="str">
        <f t="shared" si="0"/>
        <v> KVBB 19.33 </v>
      </c>
      <c r="B13" s="6" t="str">
        <f t="shared" si="1"/>
        <v>I</v>
      </c>
      <c r="C13" s="30">
        <f t="shared" si="2"/>
        <v>25410.507000000001</v>
      </c>
      <c r="D13" s="19" t="str">
        <f t="shared" si="3"/>
        <v>vis</v>
      </c>
      <c r="E13" s="40">
        <f>VLOOKUP(C13,Active!C$21:E$973,3,FALSE)</f>
        <v>6.2275348758495663E-3</v>
      </c>
      <c r="F13" s="6" t="s">
        <v>52</v>
      </c>
      <c r="G13" s="19" t="str">
        <f t="shared" si="4"/>
        <v>25410.507</v>
      </c>
      <c r="H13" s="30">
        <f t="shared" si="5"/>
        <v>-8601</v>
      </c>
      <c r="I13" s="41" t="s">
        <v>54</v>
      </c>
      <c r="J13" s="42" t="s">
        <v>55</v>
      </c>
      <c r="K13" s="41">
        <v>-8601</v>
      </c>
      <c r="L13" s="41" t="s">
        <v>56</v>
      </c>
      <c r="M13" s="42" t="s">
        <v>57</v>
      </c>
      <c r="N13" s="42"/>
      <c r="O13" s="43" t="s">
        <v>58</v>
      </c>
      <c r="P13" s="43" t="s">
        <v>59</v>
      </c>
    </row>
    <row r="14" spans="1:16" ht="12.75" customHeight="1" thickBot="1">
      <c r="A14" s="30" t="str">
        <f t="shared" si="0"/>
        <v> KVBB 19.33 </v>
      </c>
      <c r="B14" s="6" t="str">
        <f t="shared" si="1"/>
        <v>I</v>
      </c>
      <c r="C14" s="30">
        <f t="shared" si="2"/>
        <v>25827.41</v>
      </c>
      <c r="D14" s="19" t="str">
        <f t="shared" si="3"/>
        <v>vis</v>
      </c>
      <c r="E14" s="40">
        <f>VLOOKUP(C14,Active!C$21:E$973,3,FALSE)</f>
        <v>118.01886263699849</v>
      </c>
      <c r="F14" s="6" t="s">
        <v>52</v>
      </c>
      <c r="G14" s="19" t="str">
        <f t="shared" si="4"/>
        <v>25827.410</v>
      </c>
      <c r="H14" s="30">
        <f t="shared" si="5"/>
        <v>-8483</v>
      </c>
      <c r="I14" s="41" t="s">
        <v>60</v>
      </c>
      <c r="J14" s="42" t="s">
        <v>61</v>
      </c>
      <c r="K14" s="41">
        <v>-8483</v>
      </c>
      <c r="L14" s="41" t="s">
        <v>62</v>
      </c>
      <c r="M14" s="42" t="s">
        <v>57</v>
      </c>
      <c r="N14" s="42"/>
      <c r="O14" s="43" t="s">
        <v>58</v>
      </c>
      <c r="P14" s="43" t="s">
        <v>59</v>
      </c>
    </row>
    <row r="15" spans="1:16" ht="12.75" customHeight="1" thickBot="1">
      <c r="A15" s="30" t="str">
        <f t="shared" si="0"/>
        <v> KVBB 19.33 </v>
      </c>
      <c r="B15" s="6" t="str">
        <f t="shared" si="1"/>
        <v>I</v>
      </c>
      <c r="C15" s="30">
        <f t="shared" si="2"/>
        <v>25834.403999999999</v>
      </c>
      <c r="D15" s="19" t="str">
        <f t="shared" si="3"/>
        <v>vis</v>
      </c>
      <c r="E15" s="40">
        <f>VLOOKUP(C15,Active!C$21:E$973,3,FALSE)</f>
        <v>119.99865258790818</v>
      </c>
      <c r="F15" s="6" t="s">
        <v>52</v>
      </c>
      <c r="G15" s="19" t="str">
        <f t="shared" si="4"/>
        <v>25834.404</v>
      </c>
      <c r="H15" s="30">
        <f t="shared" si="5"/>
        <v>-8481</v>
      </c>
      <c r="I15" s="41" t="s">
        <v>63</v>
      </c>
      <c r="J15" s="42" t="s">
        <v>64</v>
      </c>
      <c r="K15" s="41">
        <v>-8481</v>
      </c>
      <c r="L15" s="41" t="s">
        <v>65</v>
      </c>
      <c r="M15" s="42" t="s">
        <v>57</v>
      </c>
      <c r="N15" s="42"/>
      <c r="O15" s="43" t="s">
        <v>58</v>
      </c>
      <c r="P15" s="43" t="s">
        <v>59</v>
      </c>
    </row>
    <row r="16" spans="1:16" ht="12.75" customHeight="1" thickBot="1">
      <c r="A16" s="30" t="str">
        <f t="shared" si="0"/>
        <v> VSS 2.128 </v>
      </c>
      <c r="B16" s="6" t="str">
        <f t="shared" si="1"/>
        <v>I</v>
      </c>
      <c r="C16" s="30">
        <f t="shared" si="2"/>
        <v>26484.516</v>
      </c>
      <c r="D16" s="19" t="str">
        <f t="shared" si="3"/>
        <v>vis</v>
      </c>
      <c r="E16" s="40">
        <f>VLOOKUP(C16,Active!C$21:E$973,3,FALSE)</f>
        <v>304.02570499940811</v>
      </c>
      <c r="F16" s="6" t="s">
        <v>52</v>
      </c>
      <c r="G16" s="19" t="str">
        <f t="shared" si="4"/>
        <v>26484.516</v>
      </c>
      <c r="H16" s="30">
        <f t="shared" si="5"/>
        <v>-8297</v>
      </c>
      <c r="I16" s="41" t="s">
        <v>66</v>
      </c>
      <c r="J16" s="42" t="s">
        <v>67</v>
      </c>
      <c r="K16" s="41">
        <v>-8297</v>
      </c>
      <c r="L16" s="41" t="s">
        <v>68</v>
      </c>
      <c r="M16" s="42" t="s">
        <v>57</v>
      </c>
      <c r="N16" s="42"/>
      <c r="O16" s="43" t="s">
        <v>69</v>
      </c>
      <c r="P16" s="43" t="s">
        <v>70</v>
      </c>
    </row>
    <row r="17" spans="1:16" ht="12.75" customHeight="1" thickBot="1">
      <c r="A17" s="30" t="str">
        <f t="shared" si="0"/>
        <v> KVBB 19.33 </v>
      </c>
      <c r="B17" s="6" t="str">
        <f t="shared" si="1"/>
        <v>I</v>
      </c>
      <c r="C17" s="30">
        <f t="shared" si="2"/>
        <v>26505.46</v>
      </c>
      <c r="D17" s="19" t="str">
        <f t="shared" si="3"/>
        <v>vis</v>
      </c>
      <c r="E17" s="40">
        <f>VLOOKUP(C17,Active!C$21:E$973,3,FALSE)</f>
        <v>309.95431820098935</v>
      </c>
      <c r="F17" s="6" t="s">
        <v>52</v>
      </c>
      <c r="G17" s="19" t="str">
        <f t="shared" si="4"/>
        <v>26505.460</v>
      </c>
      <c r="H17" s="30">
        <f t="shared" si="5"/>
        <v>-8291</v>
      </c>
      <c r="I17" s="41" t="s">
        <v>71</v>
      </c>
      <c r="J17" s="42" t="s">
        <v>72</v>
      </c>
      <c r="K17" s="41">
        <v>-8291</v>
      </c>
      <c r="L17" s="41" t="s">
        <v>73</v>
      </c>
      <c r="M17" s="42" t="s">
        <v>57</v>
      </c>
      <c r="N17" s="42"/>
      <c r="O17" s="43" t="s">
        <v>58</v>
      </c>
      <c r="P17" s="43" t="s">
        <v>59</v>
      </c>
    </row>
    <row r="18" spans="1:16" ht="12.75" customHeight="1" thickBot="1">
      <c r="A18" s="30" t="str">
        <f t="shared" si="0"/>
        <v> VSS 2.128 </v>
      </c>
      <c r="B18" s="6" t="str">
        <f t="shared" si="1"/>
        <v>I</v>
      </c>
      <c r="C18" s="30">
        <f t="shared" si="2"/>
        <v>27240.448</v>
      </c>
      <c r="D18" s="19" t="str">
        <f t="shared" si="3"/>
        <v>vis</v>
      </c>
      <c r="E18" s="40">
        <f>VLOOKUP(C18,Active!C$21:E$973,3,FALSE)</f>
        <v>518.00720016259527</v>
      </c>
      <c r="F18" s="6" t="s">
        <v>52</v>
      </c>
      <c r="G18" s="19" t="str">
        <f t="shared" si="4"/>
        <v>27240.448</v>
      </c>
      <c r="H18" s="30">
        <f t="shared" si="5"/>
        <v>-8083</v>
      </c>
      <c r="I18" s="41" t="s">
        <v>74</v>
      </c>
      <c r="J18" s="42" t="s">
        <v>75</v>
      </c>
      <c r="K18" s="41">
        <v>-8083</v>
      </c>
      <c r="L18" s="41" t="s">
        <v>76</v>
      </c>
      <c r="M18" s="42" t="s">
        <v>57</v>
      </c>
      <c r="N18" s="42"/>
      <c r="O18" s="43" t="s">
        <v>69</v>
      </c>
      <c r="P18" s="43" t="s">
        <v>70</v>
      </c>
    </row>
    <row r="19" spans="1:16" ht="12.75" customHeight="1" thickBot="1">
      <c r="A19" s="30" t="str">
        <f t="shared" si="0"/>
        <v> KVBB 19.33 </v>
      </c>
      <c r="B19" s="6" t="str">
        <f t="shared" si="1"/>
        <v>I</v>
      </c>
      <c r="C19" s="30">
        <f t="shared" si="2"/>
        <v>27639.444</v>
      </c>
      <c r="D19" s="19" t="str">
        <f t="shared" si="3"/>
        <v>vis</v>
      </c>
      <c r="E19" s="40">
        <f>VLOOKUP(C19,Active!C$21:E$973,3,FALSE)</f>
        <v>630.9509049457381</v>
      </c>
      <c r="F19" s="6" t="s">
        <v>52</v>
      </c>
      <c r="G19" s="19" t="str">
        <f t="shared" si="4"/>
        <v>27639.444</v>
      </c>
      <c r="H19" s="30">
        <f t="shared" si="5"/>
        <v>-7970</v>
      </c>
      <c r="I19" s="41" t="s">
        <v>77</v>
      </c>
      <c r="J19" s="42" t="s">
        <v>78</v>
      </c>
      <c r="K19" s="41">
        <v>-7970</v>
      </c>
      <c r="L19" s="41" t="s">
        <v>79</v>
      </c>
      <c r="M19" s="42" t="s">
        <v>57</v>
      </c>
      <c r="N19" s="42"/>
      <c r="O19" s="43" t="s">
        <v>58</v>
      </c>
      <c r="P19" s="43" t="s">
        <v>59</v>
      </c>
    </row>
    <row r="20" spans="1:16" ht="12.75" customHeight="1" thickBot="1">
      <c r="A20" s="30" t="str">
        <f t="shared" si="0"/>
        <v> VSS 2.128 </v>
      </c>
      <c r="B20" s="6" t="str">
        <f t="shared" si="1"/>
        <v>I</v>
      </c>
      <c r="C20" s="30">
        <f t="shared" si="2"/>
        <v>31027.289000000001</v>
      </c>
      <c r="D20" s="19" t="str">
        <f t="shared" si="3"/>
        <v>vis</v>
      </c>
      <c r="E20" s="40">
        <f>VLOOKUP(C20,Active!C$21:E$973,3,FALSE)</f>
        <v>1589.9473999758825</v>
      </c>
      <c r="F20" s="6" t="s">
        <v>52</v>
      </c>
      <c r="G20" s="19" t="str">
        <f t="shared" si="4"/>
        <v>31027.289</v>
      </c>
      <c r="H20" s="30">
        <f t="shared" si="5"/>
        <v>-7011</v>
      </c>
      <c r="I20" s="41" t="s">
        <v>80</v>
      </c>
      <c r="J20" s="42" t="s">
        <v>81</v>
      </c>
      <c r="K20" s="41">
        <v>-7011</v>
      </c>
      <c r="L20" s="41" t="s">
        <v>82</v>
      </c>
      <c r="M20" s="42" t="s">
        <v>57</v>
      </c>
      <c r="N20" s="42"/>
      <c r="O20" s="43" t="s">
        <v>69</v>
      </c>
      <c r="P20" s="43" t="s">
        <v>70</v>
      </c>
    </row>
    <row r="21" spans="1:16" ht="12.75" customHeight="1" thickBot="1">
      <c r="A21" s="30" t="str">
        <f t="shared" si="0"/>
        <v> VSS 2.128 </v>
      </c>
      <c r="B21" s="6" t="str">
        <f t="shared" si="1"/>
        <v>I</v>
      </c>
      <c r="C21" s="30">
        <f t="shared" si="2"/>
        <v>31670.425999999999</v>
      </c>
      <c r="D21" s="19" t="str">
        <f t="shared" si="3"/>
        <v>vis</v>
      </c>
      <c r="E21" s="40">
        <f>VLOOKUP(C21,Active!C$21:E$973,3,FALSE)</f>
        <v>1772.0000407620462</v>
      </c>
      <c r="F21" s="6" t="s">
        <v>52</v>
      </c>
      <c r="G21" s="19" t="str">
        <f t="shared" si="4"/>
        <v>31670.426</v>
      </c>
      <c r="H21" s="30">
        <f t="shared" si="5"/>
        <v>-6829</v>
      </c>
      <c r="I21" s="41" t="s">
        <v>83</v>
      </c>
      <c r="J21" s="42" t="s">
        <v>84</v>
      </c>
      <c r="K21" s="41">
        <v>-6829</v>
      </c>
      <c r="L21" s="41" t="s">
        <v>85</v>
      </c>
      <c r="M21" s="42" t="s">
        <v>57</v>
      </c>
      <c r="N21" s="42"/>
      <c r="O21" s="43" t="s">
        <v>69</v>
      </c>
      <c r="P21" s="43" t="s">
        <v>70</v>
      </c>
    </row>
    <row r="22" spans="1:16" ht="12.75" customHeight="1" thickBot="1">
      <c r="A22" s="30" t="str">
        <f t="shared" si="0"/>
        <v> VSS 2.128 </v>
      </c>
      <c r="B22" s="6" t="str">
        <f t="shared" si="1"/>
        <v>I</v>
      </c>
      <c r="C22" s="30">
        <f t="shared" si="2"/>
        <v>33514.410000000003</v>
      </c>
      <c r="D22" s="19" t="str">
        <f t="shared" si="3"/>
        <v>vis</v>
      </c>
      <c r="E22" s="40">
        <f>VLOOKUP(C22,Active!C$21:E$973,3,FALSE)</f>
        <v>2293.9761621287762</v>
      </c>
      <c r="F22" s="6" t="s">
        <v>52</v>
      </c>
      <c r="G22" s="19" t="str">
        <f t="shared" si="4"/>
        <v>33514.410</v>
      </c>
      <c r="H22" s="30">
        <f t="shared" si="5"/>
        <v>-6307</v>
      </c>
      <c r="I22" s="41" t="s">
        <v>86</v>
      </c>
      <c r="J22" s="42" t="s">
        <v>87</v>
      </c>
      <c r="K22" s="41">
        <v>-6307</v>
      </c>
      <c r="L22" s="41" t="s">
        <v>82</v>
      </c>
      <c r="M22" s="42" t="s">
        <v>57</v>
      </c>
      <c r="N22" s="42"/>
      <c r="O22" s="43" t="s">
        <v>69</v>
      </c>
      <c r="P22" s="43" t="s">
        <v>70</v>
      </c>
    </row>
    <row r="23" spans="1:16" ht="12.75" customHeight="1" thickBot="1">
      <c r="A23" s="30" t="str">
        <f t="shared" si="0"/>
        <v>BAVM 203 </v>
      </c>
      <c r="B23" s="6" t="str">
        <f t="shared" si="1"/>
        <v>I</v>
      </c>
      <c r="C23" s="30">
        <f t="shared" si="2"/>
        <v>54707.425999999999</v>
      </c>
      <c r="D23" s="19" t="str">
        <f t="shared" si="3"/>
        <v>vis</v>
      </c>
      <c r="E23" s="40">
        <f>VLOOKUP(C23,Active!C$21:E$973,3,FALSE)</f>
        <v>8293.0782648276181</v>
      </c>
      <c r="F23" s="6" t="s">
        <v>52</v>
      </c>
      <c r="G23" s="19" t="str">
        <f t="shared" si="4"/>
        <v>54707.4260</v>
      </c>
      <c r="H23" s="30">
        <f t="shared" si="5"/>
        <v>-308</v>
      </c>
      <c r="I23" s="41" t="s">
        <v>94</v>
      </c>
      <c r="J23" s="42" t="s">
        <v>95</v>
      </c>
      <c r="K23" s="41">
        <v>-308</v>
      </c>
      <c r="L23" s="41" t="s">
        <v>96</v>
      </c>
      <c r="M23" s="42" t="s">
        <v>97</v>
      </c>
      <c r="N23" s="42" t="s">
        <v>98</v>
      </c>
      <c r="O23" s="43" t="s">
        <v>99</v>
      </c>
      <c r="P23" s="44" t="s">
        <v>100</v>
      </c>
    </row>
    <row r="24" spans="1:16" ht="12.75" customHeight="1" thickBot="1">
      <c r="A24" s="30" t="str">
        <f t="shared" si="0"/>
        <v>BAVM 225 </v>
      </c>
      <c r="B24" s="6" t="str">
        <f t="shared" si="1"/>
        <v>I</v>
      </c>
      <c r="C24" s="30">
        <f t="shared" si="2"/>
        <v>55795.533000000003</v>
      </c>
      <c r="D24" s="19" t="str">
        <f t="shared" si="3"/>
        <v>vis</v>
      </c>
      <c r="E24" s="40">
        <f>VLOOKUP(C24,Active!C$21:E$973,3,FALSE)</f>
        <v>8601.0884598683515</v>
      </c>
      <c r="F24" s="6" t="s">
        <v>52</v>
      </c>
      <c r="G24" s="19" t="str">
        <f t="shared" si="4"/>
        <v>55795.5330</v>
      </c>
      <c r="H24" s="30">
        <f t="shared" si="5"/>
        <v>0</v>
      </c>
      <c r="I24" s="41" t="s">
        <v>101</v>
      </c>
      <c r="J24" s="42" t="s">
        <v>102</v>
      </c>
      <c r="K24" s="41" t="s">
        <v>103</v>
      </c>
      <c r="L24" s="41" t="s">
        <v>104</v>
      </c>
      <c r="M24" s="42" t="s">
        <v>97</v>
      </c>
      <c r="N24" s="42" t="s">
        <v>98</v>
      </c>
      <c r="O24" s="43" t="s">
        <v>99</v>
      </c>
      <c r="P24" s="44" t="s">
        <v>105</v>
      </c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</sheetData>
  <phoneticPr fontId="7" type="noConversion"/>
  <hyperlinks>
    <hyperlink ref="A3" r:id="rId1"/>
    <hyperlink ref="P23" r:id="rId2" display="http://www.bav-astro.de/sfs/BAVM_link.php?BAVMnr=203"/>
    <hyperlink ref="P24" r:id="rId3" display="http://www.bav-astro.de/sfs/BAVM_link.php?BAVMnr=225"/>
    <hyperlink ref="P12" r:id="rId4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2024-01-11T03:30:06Z</dcterms:modified>
</cp:coreProperties>
</file>