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F7ADAD2-7A72-4AD1-ACF5-BDA136546D0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H12" i="2" l="1"/>
  <c r="B12" i="2"/>
  <c r="G12" i="2"/>
  <c r="C12" i="2"/>
  <c r="D12" i="2"/>
  <c r="A12" i="2"/>
  <c r="H11" i="2"/>
  <c r="G11" i="2"/>
  <c r="C11" i="2"/>
  <c r="D11" i="2"/>
  <c r="B11" i="2"/>
  <c r="A11" i="2"/>
  <c r="E9" i="1"/>
  <c r="D9" i="1"/>
  <c r="F16" i="1"/>
  <c r="F17" i="1" s="1"/>
  <c r="D11" i="1"/>
  <c r="P49" i="1" s="1"/>
  <c r="R49" i="1" s="1"/>
  <c r="D12" i="1"/>
  <c r="D13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E22" i="1"/>
  <c r="F22" i="1"/>
  <c r="E30" i="1"/>
  <c r="F30" i="1"/>
  <c r="E38" i="1"/>
  <c r="F38" i="1"/>
  <c r="E45" i="1"/>
  <c r="F45" i="1"/>
  <c r="E46" i="1"/>
  <c r="F46" i="1"/>
  <c r="E53" i="1"/>
  <c r="F53" i="1"/>
  <c r="E54" i="1"/>
  <c r="F54" i="1"/>
  <c r="E56" i="1"/>
  <c r="F56" i="1"/>
  <c r="G56" i="1"/>
  <c r="H56" i="1"/>
  <c r="E57" i="1"/>
  <c r="F57" i="1"/>
  <c r="C7" i="1"/>
  <c r="E26" i="1"/>
  <c r="F26" i="1"/>
  <c r="C8" i="1"/>
  <c r="E21" i="1"/>
  <c r="F21" i="1"/>
  <c r="C17" i="1"/>
  <c r="Q21" i="1"/>
  <c r="E12" i="2"/>
  <c r="G21" i="1"/>
  <c r="H21" i="1"/>
  <c r="E11" i="2"/>
  <c r="E55" i="1"/>
  <c r="F55" i="1"/>
  <c r="E47" i="1"/>
  <c r="F47" i="1"/>
  <c r="G41" i="1"/>
  <c r="H41" i="1"/>
  <c r="E39" i="1"/>
  <c r="F39" i="1"/>
  <c r="E31" i="1"/>
  <c r="F31" i="1"/>
  <c r="G25" i="1"/>
  <c r="H25" i="1"/>
  <c r="E23" i="1"/>
  <c r="F23" i="1"/>
  <c r="G57" i="1"/>
  <c r="G54" i="1"/>
  <c r="H54" i="1"/>
  <c r="E52" i="1"/>
  <c r="F52" i="1"/>
  <c r="G46" i="1"/>
  <c r="H46" i="1"/>
  <c r="E44" i="1"/>
  <c r="F44" i="1"/>
  <c r="G38" i="1"/>
  <c r="H38" i="1"/>
  <c r="E36" i="1"/>
  <c r="F36" i="1"/>
  <c r="G30" i="1"/>
  <c r="H30" i="1"/>
  <c r="E28" i="1"/>
  <c r="F28" i="1"/>
  <c r="P28" i="1"/>
  <c r="R28" i="1" s="1"/>
  <c r="G22" i="1"/>
  <c r="H22" i="1"/>
  <c r="E49" i="1"/>
  <c r="F49" i="1"/>
  <c r="E41" i="1"/>
  <c r="F41" i="1"/>
  <c r="G35" i="1"/>
  <c r="H35" i="1"/>
  <c r="E33" i="1"/>
  <c r="F33" i="1"/>
  <c r="E25" i="1"/>
  <c r="F25" i="1"/>
  <c r="E59" i="1"/>
  <c r="F59" i="1"/>
  <c r="G53" i="1"/>
  <c r="H53" i="1"/>
  <c r="E51" i="1"/>
  <c r="F51" i="1"/>
  <c r="G45" i="1"/>
  <c r="H45" i="1"/>
  <c r="E43" i="1"/>
  <c r="F43" i="1"/>
  <c r="G37" i="1"/>
  <c r="H37" i="1"/>
  <c r="E35" i="1"/>
  <c r="F35" i="1"/>
  <c r="E27" i="1"/>
  <c r="F27" i="1"/>
  <c r="E48" i="1"/>
  <c r="F48" i="1"/>
  <c r="G48" i="1"/>
  <c r="H48" i="1"/>
  <c r="G42" i="1"/>
  <c r="H42" i="1"/>
  <c r="E40" i="1"/>
  <c r="F40" i="1"/>
  <c r="G40" i="1"/>
  <c r="H40" i="1"/>
  <c r="G34" i="1"/>
  <c r="H34" i="1"/>
  <c r="E32" i="1"/>
  <c r="F32" i="1"/>
  <c r="G32" i="1"/>
  <c r="H32" i="1"/>
  <c r="G26" i="1"/>
  <c r="H26" i="1"/>
  <c r="E24" i="1"/>
  <c r="F24" i="1"/>
  <c r="D16" i="1"/>
  <c r="D19" i="1" s="1"/>
  <c r="E37" i="1"/>
  <c r="F37" i="1"/>
  <c r="P37" i="1"/>
  <c r="R37" i="1" s="1"/>
  <c r="E29" i="1"/>
  <c r="F29" i="1"/>
  <c r="G23" i="1"/>
  <c r="H23" i="1"/>
  <c r="E58" i="1"/>
  <c r="F58" i="1"/>
  <c r="G52" i="1"/>
  <c r="H52" i="1"/>
  <c r="E50" i="1"/>
  <c r="F50" i="1"/>
  <c r="G44" i="1"/>
  <c r="H44" i="1"/>
  <c r="E42" i="1"/>
  <c r="F42" i="1"/>
  <c r="G36" i="1"/>
  <c r="H36" i="1"/>
  <c r="E34" i="1"/>
  <c r="F34" i="1"/>
  <c r="G28" i="1"/>
  <c r="H28" i="1"/>
  <c r="G47" i="1"/>
  <c r="H47" i="1"/>
  <c r="P47" i="1"/>
  <c r="R47" i="1" s="1"/>
  <c r="G31" i="1"/>
  <c r="H31" i="1"/>
  <c r="I57" i="1"/>
  <c r="G49" i="1"/>
  <c r="H49" i="1"/>
  <c r="G51" i="1"/>
  <c r="H51" i="1"/>
  <c r="G43" i="1"/>
  <c r="H43" i="1"/>
  <c r="G55" i="1"/>
  <c r="H55" i="1"/>
  <c r="G50" i="1"/>
  <c r="H50" i="1"/>
  <c r="G29" i="1"/>
  <c r="H29" i="1"/>
  <c r="G24" i="1"/>
  <c r="H24" i="1"/>
  <c r="P59" i="1"/>
  <c r="R59" i="1" s="1"/>
  <c r="G59" i="1"/>
  <c r="H59" i="1"/>
  <c r="G33" i="1"/>
  <c r="H33" i="1"/>
  <c r="G58" i="1"/>
  <c r="G27" i="1"/>
  <c r="H27" i="1"/>
  <c r="G39" i="1"/>
  <c r="H39" i="1"/>
  <c r="H58" i="1"/>
  <c r="C12" i="1"/>
  <c r="C11" i="1"/>
  <c r="O52" i="1" l="1"/>
  <c r="O56" i="1"/>
  <c r="O45" i="1"/>
  <c r="O49" i="1"/>
  <c r="O50" i="1"/>
  <c r="O54" i="1"/>
  <c r="O47" i="1"/>
  <c r="O51" i="1"/>
  <c r="O55" i="1"/>
  <c r="O53" i="1"/>
  <c r="O57" i="1"/>
  <c r="O46" i="1"/>
  <c r="O58" i="1"/>
  <c r="O59" i="1"/>
  <c r="O44" i="1"/>
  <c r="C15" i="1"/>
  <c r="O48" i="1"/>
  <c r="C16" i="1"/>
  <c r="D18" i="1" s="1"/>
  <c r="U28" i="1"/>
  <c r="P48" i="1"/>
  <c r="R48" i="1" s="1"/>
  <c r="U32" i="1"/>
  <c r="P34" i="1"/>
  <c r="R34" i="1" s="1"/>
  <c r="P44" i="1"/>
  <c r="R44" i="1" s="1"/>
  <c r="P26" i="1"/>
  <c r="R26" i="1" s="1"/>
  <c r="P46" i="1"/>
  <c r="R46" i="1" s="1"/>
  <c r="U35" i="1"/>
  <c r="U31" i="1"/>
  <c r="U27" i="1"/>
  <c r="U23" i="1"/>
  <c r="P35" i="1"/>
  <c r="R35" i="1" s="1"/>
  <c r="P25" i="1"/>
  <c r="R25" i="1" s="1"/>
  <c r="P41" i="1"/>
  <c r="R41" i="1" s="1"/>
  <c r="P53" i="1"/>
  <c r="R53" i="1" s="1"/>
  <c r="P23" i="1"/>
  <c r="R23" i="1" s="1"/>
  <c r="U34" i="1"/>
  <c r="U30" i="1"/>
  <c r="U26" i="1"/>
  <c r="U22" i="1"/>
  <c r="P43" i="1"/>
  <c r="R43" i="1" s="1"/>
  <c r="P31" i="1"/>
  <c r="R31" i="1" s="1"/>
  <c r="P57" i="1"/>
  <c r="R57" i="1" s="1"/>
  <c r="P55" i="1"/>
  <c r="R55" i="1" s="1"/>
  <c r="P36" i="1"/>
  <c r="R36" i="1" s="1"/>
  <c r="P29" i="1"/>
  <c r="R29" i="1" s="1"/>
  <c r="P56" i="1"/>
  <c r="R56" i="1" s="1"/>
  <c r="P54" i="1"/>
  <c r="R54" i="1" s="1"/>
  <c r="P45" i="1"/>
  <c r="R45" i="1" s="1"/>
  <c r="P38" i="1"/>
  <c r="R38" i="1" s="1"/>
  <c r="U36" i="1"/>
  <c r="P27" i="1"/>
  <c r="R27" i="1" s="1"/>
  <c r="P21" i="1"/>
  <c r="R21" i="1" s="1"/>
  <c r="P51" i="1"/>
  <c r="R51" i="1" s="1"/>
  <c r="P40" i="1"/>
  <c r="R40" i="1" s="1"/>
  <c r="P30" i="1"/>
  <c r="R30" i="1" s="1"/>
  <c r="D15" i="1"/>
  <c r="C19" i="1" s="1"/>
  <c r="P58" i="1"/>
  <c r="R58" i="1" s="1"/>
  <c r="U21" i="1"/>
  <c r="P22" i="1"/>
  <c r="R22" i="1" s="1"/>
  <c r="U33" i="1"/>
  <c r="U29" i="1"/>
  <c r="U25" i="1"/>
  <c r="U24" i="1"/>
  <c r="P24" i="1"/>
  <c r="R24" i="1" s="1"/>
  <c r="P50" i="1"/>
  <c r="R50" i="1" s="1"/>
  <c r="P39" i="1"/>
  <c r="R39" i="1" s="1"/>
  <c r="P52" i="1"/>
  <c r="R52" i="1" s="1"/>
  <c r="P32" i="1"/>
  <c r="R32" i="1" s="1"/>
  <c r="P42" i="1"/>
  <c r="R42" i="1" s="1"/>
  <c r="P33" i="1"/>
  <c r="R33" i="1" s="1"/>
  <c r="C18" i="1" l="1"/>
  <c r="E14" i="1"/>
  <c r="F18" i="1"/>
  <c r="F19" i="1" s="1"/>
</calcChain>
</file>

<file path=xl/sharedStrings.xml><?xml version="1.0" encoding="utf-8"?>
<sst xmlns="http://schemas.openxmlformats.org/spreadsheetml/2006/main" count="226" uniqueCount="78">
  <si>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</si>
  <si>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</si>
  <si>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</si>
  <si>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</si>
  <si>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</si>
  <si>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</si>
  <si>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</si>
  <si>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</si>
  <si>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</si>
  <si>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</si>
  <si>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</si>
  <si>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</si>
  <si>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</si>
  <si>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</si>
  <si>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</si>
  <si>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</si>
  <si>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</si>
  <si>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</si>
  <si>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</si>
  <si>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</si>
  <si>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</si>
  <si>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</si>
  <si>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</si>
  <si>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</si>
  <si>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</si>
  <si>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</si>
  <si>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</si>
  <si>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</si>
  <si>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</t>
  </si>
  <si>
    <t>v</t>
  </si>
  <si>
    <t>Elias D</t>
  </si>
  <si>
    <t>K</t>
  </si>
  <si>
    <t># of data points:</t>
  </si>
  <si>
    <t>S6</t>
  </si>
  <si>
    <t>Start of linear fit (row #)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</si>
  <si>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</si>
  <si>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</si>
  <si>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</si>
  <si>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</si>
  <si>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</si>
  <si>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</si>
  <si>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</si>
  <si>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 xml:space="preserve">V0936 Aql / GSC 5140-2463               </t>
  </si>
  <si>
    <t>E</t>
  </si>
  <si>
    <t>J.M. Kreiner, 2004, Acta Astronomica, vol. 54, pp 207-210.</t>
  </si>
  <si>
    <t>IBVS 4639</t>
  </si>
  <si>
    <t/>
  </si>
  <si>
    <t>??</t>
  </si>
  <si>
    <t>Kreiner</t>
  </si>
  <si>
    <t>I</t>
  </si>
  <si>
    <t>IBVS 5594</t>
  </si>
  <si>
    <t>IBVS 5690</t>
  </si>
  <si>
    <t>IBVS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</si>
  <si>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</si>
  <si>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</si>
  <si>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</si>
  <si>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</si>
  <si>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</si>
  <si>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</si>
  <si>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</si>
  <si>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</si>
  <si>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</si>
  <si>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</si>
  <si>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2452504.3780 </t>
  </si>
  <si>
    <t> 17.08.2002 21:04 </t>
  </si>
  <si>
    <t> 0.0003 </t>
  </si>
  <si>
    <t>C </t>
  </si>
  <si>
    <t>R</t>
  </si>
  <si>
    <t> Sarounova &amp; Wolf </t>
  </si>
  <si>
    <t>IBVS 5594 </t>
  </si>
  <si>
    <t>2453551.8549 </t>
  </si>
  <si>
    <t> 30.06.2005 08:31 </t>
  </si>
  <si>
    <t> -0.0001 </t>
  </si>
  <si>
    <t>E </t>
  </si>
  <si>
    <t>?</t>
  </si>
  <si>
    <t> T.Krajci </t>
  </si>
  <si>
    <t>IBVS 5690 </t>
  </si>
  <si>
    <t>My time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</si>
</sst>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3" fillId="0" borderId="3" xfId="0" applyFont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13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14" fillId="0" borderId="0" xfId="0" applyFont="1" applyAlignment="1"/>
    <xf numFmtId="14" fontId="10" fillId="0" borderId="0" xfId="0" applyNumberFormat="1" applyFont="1" applyAlignment="1"/>
    <xf numFmtId="0" fontId="15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22" fontId="9" fillId="0" borderId="0" xfId="0" applyNumberFormat="1" applyFont="1">
      <alignment vertical="top"/>
    </xf>
    <xf numFmtId="0" fontId="15" fillId="0" borderId="0" xfId="0" applyFont="1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>
      <alignment vertical="top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0" fillId="0" borderId="0" xfId="0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1" fillId="0" borderId="0" xfId="7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" borderId="19" xfId="0" applyFont="1" applyFill="1" applyBorder="1" applyAlignment="1">
      <alignment horizontal="left" vertical="top" wrapText="1" indent="1"/>
    </xf>
    <xf numFmtId="0" fontId="5" fillId="2" borderId="19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right" vertical="top" wrapText="1"/>
    </xf>
    <xf numFmtId="0" fontId="21" fillId="2" borderId="19" xfId="7" applyFill="1" applyBorder="1" applyAlignment="1" applyProtection="1">
      <alignment horizontal="right" vertical="top" wrapText="1"/>
    </xf>
    <xf numFmtId="0" fontId="6" fillId="0" borderId="0" xfId="0" applyFont="1" applyAlignment="1"/>
    <xf numFmtId="0" fontId="23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V0936 Aql - O-C Diagr.</a:t>
            </a:r>
          </a:p>
        </c:rich>
      </c:tx>
      <c:layout>
        <c:manualLayout>
          <c:xMode val="edge"/>
          <c:yMode val="edge"/>
          <c:x val="0.3648429767174625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84062571358"/>
          <c:y val="0.14678942920199375"/>
          <c:w val="0.80099632209447891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Active!$F$21:$F$1005</c:f>
              <c:numCache>
                <c:formatCode>General</c:formatCode>
                <c:ptCount val="985"/>
                <c:pt idx="0">
                  <c:v>-58357</c:v>
                </c:pt>
                <c:pt idx="1">
                  <c:v>-56229</c:v>
                </c:pt>
                <c:pt idx="2">
                  <c:v>-54548</c:v>
                </c:pt>
                <c:pt idx="3">
                  <c:v>-53934</c:v>
                </c:pt>
                <c:pt idx="4">
                  <c:v>-53043</c:v>
                </c:pt>
                <c:pt idx="5">
                  <c:v>-52334</c:v>
                </c:pt>
                <c:pt idx="6">
                  <c:v>-51535</c:v>
                </c:pt>
                <c:pt idx="7">
                  <c:v>-50872</c:v>
                </c:pt>
                <c:pt idx="8">
                  <c:v>-50080</c:v>
                </c:pt>
                <c:pt idx="9">
                  <c:v>-49361</c:v>
                </c:pt>
                <c:pt idx="10">
                  <c:v>-48666</c:v>
                </c:pt>
                <c:pt idx="11">
                  <c:v>-47801</c:v>
                </c:pt>
                <c:pt idx="12">
                  <c:v>-47018</c:v>
                </c:pt>
                <c:pt idx="13">
                  <c:v>-41647</c:v>
                </c:pt>
                <c:pt idx="14">
                  <c:v>-40964</c:v>
                </c:pt>
                <c:pt idx="15">
                  <c:v>-40219</c:v>
                </c:pt>
                <c:pt idx="16">
                  <c:v>-39472</c:v>
                </c:pt>
                <c:pt idx="17">
                  <c:v>-38700</c:v>
                </c:pt>
                <c:pt idx="18">
                  <c:v>-37145</c:v>
                </c:pt>
                <c:pt idx="19">
                  <c:v>-34756</c:v>
                </c:pt>
                <c:pt idx="20">
                  <c:v>-28093</c:v>
                </c:pt>
                <c:pt idx="21">
                  <c:v>-25808</c:v>
                </c:pt>
                <c:pt idx="22">
                  <c:v>-24266</c:v>
                </c:pt>
                <c:pt idx="23">
                  <c:v>-23477</c:v>
                </c:pt>
                <c:pt idx="24">
                  <c:v>-23412</c:v>
                </c:pt>
                <c:pt idx="25">
                  <c:v>-22786</c:v>
                </c:pt>
                <c:pt idx="26">
                  <c:v>-20656</c:v>
                </c:pt>
                <c:pt idx="27">
                  <c:v>-19761</c:v>
                </c:pt>
                <c:pt idx="28">
                  <c:v>-18167</c:v>
                </c:pt>
                <c:pt idx="29">
                  <c:v>-17429</c:v>
                </c:pt>
                <c:pt idx="30">
                  <c:v>-16685</c:v>
                </c:pt>
                <c:pt idx="31">
                  <c:v>-15947</c:v>
                </c:pt>
                <c:pt idx="32">
                  <c:v>-14488</c:v>
                </c:pt>
                <c:pt idx="33">
                  <c:v>-12827</c:v>
                </c:pt>
                <c:pt idx="34">
                  <c:v>-9749</c:v>
                </c:pt>
                <c:pt idx="35">
                  <c:v>-9152</c:v>
                </c:pt>
                <c:pt idx="36">
                  <c:v>0</c:v>
                </c:pt>
                <c:pt idx="37">
                  <c:v>9</c:v>
                </c:pt>
                <c:pt idx="38">
                  <c:v>2183</c:v>
                </c:pt>
              </c:numCache>
            </c:numRef>
          </c:xVal>
          <c:yVal>
            <c:numRef>
              <c:f>Active!$H$21:$H$1005</c:f>
              <c:numCache>
                <c:formatCode>General</c:formatCode>
                <c:ptCount val="985"/>
                <c:pt idx="0">
                  <c:v>-7.0424300003651297E-2</c:v>
                </c:pt>
                <c:pt idx="1">
                  <c:v>-8.2597100001294166E-2</c:v>
                </c:pt>
                <c:pt idx="2">
                  <c:v>-5.2185200001986232E-2</c:v>
                </c:pt>
                <c:pt idx="3">
                  <c:v>-6.672660000185715E-2</c:v>
                </c:pt>
                <c:pt idx="4">
                  <c:v>-0.11343570000462933</c:v>
                </c:pt>
                <c:pt idx="5">
                  <c:v>-5.988660000366508E-2</c:v>
                </c:pt>
                <c:pt idx="6">
                  <c:v>-4.7146500000962988E-2</c:v>
                </c:pt>
                <c:pt idx="7">
                  <c:v>-5.887280000388273E-2</c:v>
                </c:pt>
                <c:pt idx="8">
                  <c:v>-5.5392000002029818E-2</c:v>
                </c:pt>
                <c:pt idx="9">
                  <c:v>-4.8043900002085138E-2</c:v>
                </c:pt>
                <c:pt idx="10">
                  <c:v>-6.0134000050311442E-3</c:v>
                </c:pt>
                <c:pt idx="11">
                  <c:v>-3.2399900002928916E-2</c:v>
                </c:pt>
                <c:pt idx="12">
                  <c:v>-3.6538200001814403E-2</c:v>
                </c:pt>
                <c:pt idx="13">
                  <c:v>-2.1295300000929274E-2</c:v>
                </c:pt>
                <c:pt idx="14">
                  <c:v>-2.6423600000271108E-2</c:v>
                </c:pt>
                <c:pt idx="15">
                  <c:v>-1.3398100003541913E-2</c:v>
                </c:pt>
                <c:pt idx="16">
                  <c:v>-2.0012800006952602E-2</c:v>
                </c:pt>
                <c:pt idx="17">
                  <c:v>-2.61300000056508E-2</c:v>
                </c:pt>
                <c:pt idx="18">
                  <c:v>-1.0385499997937586E-2</c:v>
                </c:pt>
                <c:pt idx="19">
                  <c:v>-1.7604400003619958E-2</c:v>
                </c:pt>
                <c:pt idx="20">
                  <c:v>-4.9307000008411705E-3</c:v>
                </c:pt>
                <c:pt idx="21">
                  <c:v>-7.8592000063508749E-3</c:v>
                </c:pt>
                <c:pt idx="22">
                  <c:v>5.4660000023432076E-4</c:v>
                </c:pt>
                <c:pt idx="23">
                  <c:v>-3.5123000052408315E-3</c:v>
                </c:pt>
                <c:pt idx="24">
                  <c:v>-2.8187999996589497E-3</c:v>
                </c:pt>
                <c:pt idx="25">
                  <c:v>-4.2013999991468154E-3</c:v>
                </c:pt>
                <c:pt idx="26">
                  <c:v>-1.0143999970750883E-3</c:v>
                </c:pt>
                <c:pt idx="27">
                  <c:v>-7.0038999983808026E-3</c:v>
                </c:pt>
                <c:pt idx="28">
                  <c:v>9.7566999975242652E-3</c:v>
                </c:pt>
                <c:pt idx="29">
                  <c:v>-9.4771000003674999E-3</c:v>
                </c:pt>
                <c:pt idx="30">
                  <c:v>-4.6314999999594875E-3</c:v>
                </c:pt>
                <c:pt idx="31">
                  <c:v>6.1347000009845942E-3</c:v>
                </c:pt>
                <c:pt idx="32">
                  <c:v>-4.3912000037380494E-3</c:v>
                </c:pt>
                <c:pt idx="33">
                  <c:v>2.4226999958045781E-3</c:v>
                </c:pt>
                <c:pt idx="34">
                  <c:v>1.5489999350393191E-4</c:v>
                </c:pt>
                <c:pt idx="35">
                  <c:v>5.5551999976160005E-3</c:v>
                </c:pt>
                <c:pt idx="37">
                  <c:v>-3.8090000452939421E-4</c:v>
                </c:pt>
                <c:pt idx="38">
                  <c:v>-3.7829999928362668E-4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AF-4331-8D32-CEAE41DD845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Active!$D$21:$D$1005</c:f>
                <c:numCache>
                  <c:formatCode>General</c:formatCode>
                  <c:ptCount val="9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1E-4</c:v>
                  </c:pt>
                  <c:pt idx="38">
                    <c:v>2.9999999999999997E-4</c:v>
                  </c:pt>
                </c:numCache>
              </c:numRef>
            </c:plus>
            <c:minus>
              <c:numRef>
                <c:f>Active!$D$21:$D$1005</c:f>
                <c:numCache>
                  <c:formatCode>General</c:formatCode>
                  <c:ptCount val="9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1E-4</c:v>
                  </c:pt>
                  <c:pt idx="3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-58357</c:v>
                </c:pt>
                <c:pt idx="1">
                  <c:v>-56229</c:v>
                </c:pt>
                <c:pt idx="2">
                  <c:v>-54548</c:v>
                </c:pt>
                <c:pt idx="3">
                  <c:v>-53934</c:v>
                </c:pt>
                <c:pt idx="4">
                  <c:v>-53043</c:v>
                </c:pt>
                <c:pt idx="5">
                  <c:v>-52334</c:v>
                </c:pt>
                <c:pt idx="6">
                  <c:v>-51535</c:v>
                </c:pt>
                <c:pt idx="7">
                  <c:v>-50872</c:v>
                </c:pt>
                <c:pt idx="8">
                  <c:v>-50080</c:v>
                </c:pt>
                <c:pt idx="9">
                  <c:v>-49361</c:v>
                </c:pt>
                <c:pt idx="10">
                  <c:v>-48666</c:v>
                </c:pt>
                <c:pt idx="11">
                  <c:v>-47801</c:v>
                </c:pt>
                <c:pt idx="12">
                  <c:v>-47018</c:v>
                </c:pt>
                <c:pt idx="13">
                  <c:v>-41647</c:v>
                </c:pt>
                <c:pt idx="14">
                  <c:v>-40964</c:v>
                </c:pt>
                <c:pt idx="15">
                  <c:v>-40219</c:v>
                </c:pt>
                <c:pt idx="16">
                  <c:v>-39472</c:v>
                </c:pt>
                <c:pt idx="17">
                  <c:v>-38700</c:v>
                </c:pt>
                <c:pt idx="18">
                  <c:v>-37145</c:v>
                </c:pt>
                <c:pt idx="19">
                  <c:v>-34756</c:v>
                </c:pt>
                <c:pt idx="20">
                  <c:v>-28093</c:v>
                </c:pt>
                <c:pt idx="21">
                  <c:v>-25808</c:v>
                </c:pt>
                <c:pt idx="22">
                  <c:v>-24266</c:v>
                </c:pt>
                <c:pt idx="23">
                  <c:v>-23477</c:v>
                </c:pt>
                <c:pt idx="24">
                  <c:v>-23412</c:v>
                </c:pt>
                <c:pt idx="25">
                  <c:v>-22786</c:v>
                </c:pt>
                <c:pt idx="26">
                  <c:v>-20656</c:v>
                </c:pt>
                <c:pt idx="27">
                  <c:v>-19761</c:v>
                </c:pt>
                <c:pt idx="28">
                  <c:v>-18167</c:v>
                </c:pt>
                <c:pt idx="29">
                  <c:v>-17429</c:v>
                </c:pt>
                <c:pt idx="30">
                  <c:v>-16685</c:v>
                </c:pt>
                <c:pt idx="31">
                  <c:v>-15947</c:v>
                </c:pt>
                <c:pt idx="32">
                  <c:v>-14488</c:v>
                </c:pt>
                <c:pt idx="33">
                  <c:v>-12827</c:v>
                </c:pt>
                <c:pt idx="34">
                  <c:v>-9749</c:v>
                </c:pt>
                <c:pt idx="35">
                  <c:v>-9152</c:v>
                </c:pt>
                <c:pt idx="36">
                  <c:v>0</c:v>
                </c:pt>
                <c:pt idx="37">
                  <c:v>9</c:v>
                </c:pt>
                <c:pt idx="38">
                  <c:v>2183</c:v>
                </c:pt>
              </c:numCache>
            </c:numRef>
          </c:xVal>
          <c:yVal>
            <c:numRef>
              <c:f>Active!$I$21:$I$1005</c:f>
              <c:numCache>
                <c:formatCode>General</c:formatCode>
                <c:ptCount val="985"/>
                <c:pt idx="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AF-4331-8D32-CEAE41DD845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plus>
            <c:minus>
              <c:numRef>
                <c:f>Active!$D$21:$D$56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-58357</c:v>
                </c:pt>
                <c:pt idx="1">
                  <c:v>-56229</c:v>
                </c:pt>
                <c:pt idx="2">
                  <c:v>-54548</c:v>
                </c:pt>
                <c:pt idx="3">
                  <c:v>-53934</c:v>
                </c:pt>
                <c:pt idx="4">
                  <c:v>-53043</c:v>
                </c:pt>
                <c:pt idx="5">
                  <c:v>-52334</c:v>
                </c:pt>
                <c:pt idx="6">
                  <c:v>-51535</c:v>
                </c:pt>
                <c:pt idx="7">
                  <c:v>-50872</c:v>
                </c:pt>
                <c:pt idx="8">
                  <c:v>-50080</c:v>
                </c:pt>
                <c:pt idx="9">
                  <c:v>-49361</c:v>
                </c:pt>
                <c:pt idx="10">
                  <c:v>-48666</c:v>
                </c:pt>
                <c:pt idx="11">
                  <c:v>-47801</c:v>
                </c:pt>
                <c:pt idx="12">
                  <c:v>-47018</c:v>
                </c:pt>
                <c:pt idx="13">
                  <c:v>-41647</c:v>
                </c:pt>
                <c:pt idx="14">
                  <c:v>-40964</c:v>
                </c:pt>
                <c:pt idx="15">
                  <c:v>-40219</c:v>
                </c:pt>
                <c:pt idx="16">
                  <c:v>-39472</c:v>
                </c:pt>
                <c:pt idx="17">
                  <c:v>-38700</c:v>
                </c:pt>
                <c:pt idx="18">
                  <c:v>-37145</c:v>
                </c:pt>
                <c:pt idx="19">
                  <c:v>-34756</c:v>
                </c:pt>
                <c:pt idx="20">
                  <c:v>-28093</c:v>
                </c:pt>
                <c:pt idx="21">
                  <c:v>-25808</c:v>
                </c:pt>
                <c:pt idx="22">
                  <c:v>-24266</c:v>
                </c:pt>
                <c:pt idx="23">
                  <c:v>-23477</c:v>
                </c:pt>
                <c:pt idx="24">
                  <c:v>-23412</c:v>
                </c:pt>
                <c:pt idx="25">
                  <c:v>-22786</c:v>
                </c:pt>
                <c:pt idx="26">
                  <c:v>-20656</c:v>
                </c:pt>
                <c:pt idx="27">
                  <c:v>-19761</c:v>
                </c:pt>
                <c:pt idx="28">
                  <c:v>-18167</c:v>
                </c:pt>
                <c:pt idx="29">
                  <c:v>-17429</c:v>
                </c:pt>
                <c:pt idx="30">
                  <c:v>-16685</c:v>
                </c:pt>
                <c:pt idx="31">
                  <c:v>-15947</c:v>
                </c:pt>
                <c:pt idx="32">
                  <c:v>-14488</c:v>
                </c:pt>
                <c:pt idx="33">
                  <c:v>-12827</c:v>
                </c:pt>
                <c:pt idx="34">
                  <c:v>-9749</c:v>
                </c:pt>
                <c:pt idx="35">
                  <c:v>-9152</c:v>
                </c:pt>
                <c:pt idx="36">
                  <c:v>0</c:v>
                </c:pt>
                <c:pt idx="37">
                  <c:v>9</c:v>
                </c:pt>
                <c:pt idx="38">
                  <c:v>2183</c:v>
                </c:pt>
              </c:numCache>
            </c:numRef>
          </c:xVal>
          <c:yVal>
            <c:numRef>
              <c:f>Active!$J$21:$J$1005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AF-4331-8D32-CEAE41DD845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1E-4</c:v>
                  </c:pt>
                  <c:pt idx="38">
                    <c:v>2.9999999999999997E-4</c:v>
                  </c:pt>
                </c:numCache>
              </c:numRef>
            </c:plus>
            <c:minus>
              <c:numRef>
                <c:f>Active!$D$21:$D$105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1E-4</c:v>
                  </c:pt>
                  <c:pt idx="3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-58357</c:v>
                </c:pt>
                <c:pt idx="1">
                  <c:v>-56229</c:v>
                </c:pt>
                <c:pt idx="2">
                  <c:v>-54548</c:v>
                </c:pt>
                <c:pt idx="3">
                  <c:v>-53934</c:v>
                </c:pt>
                <c:pt idx="4">
                  <c:v>-53043</c:v>
                </c:pt>
                <c:pt idx="5">
                  <c:v>-52334</c:v>
                </c:pt>
                <c:pt idx="6">
                  <c:v>-51535</c:v>
                </c:pt>
                <c:pt idx="7">
                  <c:v>-50872</c:v>
                </c:pt>
                <c:pt idx="8">
                  <c:v>-50080</c:v>
                </c:pt>
                <c:pt idx="9">
                  <c:v>-49361</c:v>
                </c:pt>
                <c:pt idx="10">
                  <c:v>-48666</c:v>
                </c:pt>
                <c:pt idx="11">
                  <c:v>-47801</c:v>
                </c:pt>
                <c:pt idx="12">
                  <c:v>-47018</c:v>
                </c:pt>
                <c:pt idx="13">
                  <c:v>-41647</c:v>
                </c:pt>
                <c:pt idx="14">
                  <c:v>-40964</c:v>
                </c:pt>
                <c:pt idx="15">
                  <c:v>-40219</c:v>
                </c:pt>
                <c:pt idx="16">
                  <c:v>-39472</c:v>
                </c:pt>
                <c:pt idx="17">
                  <c:v>-38700</c:v>
                </c:pt>
                <c:pt idx="18">
                  <c:v>-37145</c:v>
                </c:pt>
                <c:pt idx="19">
                  <c:v>-34756</c:v>
                </c:pt>
                <c:pt idx="20">
                  <c:v>-28093</c:v>
                </c:pt>
                <c:pt idx="21">
                  <c:v>-25808</c:v>
                </c:pt>
                <c:pt idx="22">
                  <c:v>-24266</c:v>
                </c:pt>
                <c:pt idx="23">
                  <c:v>-23477</c:v>
                </c:pt>
                <c:pt idx="24">
                  <c:v>-23412</c:v>
                </c:pt>
                <c:pt idx="25">
                  <c:v>-22786</c:v>
                </c:pt>
                <c:pt idx="26">
                  <c:v>-20656</c:v>
                </c:pt>
                <c:pt idx="27">
                  <c:v>-19761</c:v>
                </c:pt>
                <c:pt idx="28">
                  <c:v>-18167</c:v>
                </c:pt>
                <c:pt idx="29">
                  <c:v>-17429</c:v>
                </c:pt>
                <c:pt idx="30">
                  <c:v>-16685</c:v>
                </c:pt>
                <c:pt idx="31">
                  <c:v>-15947</c:v>
                </c:pt>
                <c:pt idx="32">
                  <c:v>-14488</c:v>
                </c:pt>
                <c:pt idx="33">
                  <c:v>-12827</c:v>
                </c:pt>
                <c:pt idx="34">
                  <c:v>-9749</c:v>
                </c:pt>
                <c:pt idx="35">
                  <c:v>-9152</c:v>
                </c:pt>
                <c:pt idx="36">
                  <c:v>0</c:v>
                </c:pt>
                <c:pt idx="37">
                  <c:v>9</c:v>
                </c:pt>
                <c:pt idx="38">
                  <c:v>2183</c:v>
                </c:pt>
              </c:numCache>
            </c:numRef>
          </c:xVal>
          <c:yVal>
            <c:numRef>
              <c:f>Active!$K$21:$K$1005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AF-4331-8D32-CEAE41DD845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1E-4</c:v>
                  </c:pt>
                  <c:pt idx="38">
                    <c:v>2.9999999999999997E-4</c:v>
                  </c:pt>
                </c:numCache>
              </c:numRef>
            </c:plus>
            <c:minus>
              <c:numRef>
                <c:f>Active!$D$21:$D$105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1E-4</c:v>
                  </c:pt>
                  <c:pt idx="3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-58357</c:v>
                </c:pt>
                <c:pt idx="1">
                  <c:v>-56229</c:v>
                </c:pt>
                <c:pt idx="2">
                  <c:v>-54548</c:v>
                </c:pt>
                <c:pt idx="3">
                  <c:v>-53934</c:v>
                </c:pt>
                <c:pt idx="4">
                  <c:v>-53043</c:v>
                </c:pt>
                <c:pt idx="5">
                  <c:v>-52334</c:v>
                </c:pt>
                <c:pt idx="6">
                  <c:v>-51535</c:v>
                </c:pt>
                <c:pt idx="7">
                  <c:v>-50872</c:v>
                </c:pt>
                <c:pt idx="8">
                  <c:v>-50080</c:v>
                </c:pt>
                <c:pt idx="9">
                  <c:v>-49361</c:v>
                </c:pt>
                <c:pt idx="10">
                  <c:v>-48666</c:v>
                </c:pt>
                <c:pt idx="11">
                  <c:v>-47801</c:v>
                </c:pt>
                <c:pt idx="12">
                  <c:v>-47018</c:v>
                </c:pt>
                <c:pt idx="13">
                  <c:v>-41647</c:v>
                </c:pt>
                <c:pt idx="14">
                  <c:v>-40964</c:v>
                </c:pt>
                <c:pt idx="15">
                  <c:v>-40219</c:v>
                </c:pt>
                <c:pt idx="16">
                  <c:v>-39472</c:v>
                </c:pt>
                <c:pt idx="17">
                  <c:v>-38700</c:v>
                </c:pt>
                <c:pt idx="18">
                  <c:v>-37145</c:v>
                </c:pt>
                <c:pt idx="19">
                  <c:v>-34756</c:v>
                </c:pt>
                <c:pt idx="20">
                  <c:v>-28093</c:v>
                </c:pt>
                <c:pt idx="21">
                  <c:v>-25808</c:v>
                </c:pt>
                <c:pt idx="22">
                  <c:v>-24266</c:v>
                </c:pt>
                <c:pt idx="23">
                  <c:v>-23477</c:v>
                </c:pt>
                <c:pt idx="24">
                  <c:v>-23412</c:v>
                </c:pt>
                <c:pt idx="25">
                  <c:v>-22786</c:v>
                </c:pt>
                <c:pt idx="26">
                  <c:v>-20656</c:v>
                </c:pt>
                <c:pt idx="27">
                  <c:v>-19761</c:v>
                </c:pt>
                <c:pt idx="28">
                  <c:v>-18167</c:v>
                </c:pt>
                <c:pt idx="29">
                  <c:v>-17429</c:v>
                </c:pt>
                <c:pt idx="30">
                  <c:v>-16685</c:v>
                </c:pt>
                <c:pt idx="31">
                  <c:v>-15947</c:v>
                </c:pt>
                <c:pt idx="32">
                  <c:v>-14488</c:v>
                </c:pt>
                <c:pt idx="33">
                  <c:v>-12827</c:v>
                </c:pt>
                <c:pt idx="34">
                  <c:v>-9749</c:v>
                </c:pt>
                <c:pt idx="35">
                  <c:v>-9152</c:v>
                </c:pt>
                <c:pt idx="36">
                  <c:v>0</c:v>
                </c:pt>
                <c:pt idx="37">
                  <c:v>9</c:v>
                </c:pt>
                <c:pt idx="38">
                  <c:v>2183</c:v>
                </c:pt>
              </c:numCache>
            </c:numRef>
          </c:xVal>
          <c:yVal>
            <c:numRef>
              <c:f>Active!$L$21:$L$1005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AF-4331-8D32-CEAE41DD845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1E-4</c:v>
                  </c:pt>
                  <c:pt idx="38">
                    <c:v>2.9999999999999997E-4</c:v>
                  </c:pt>
                </c:numCache>
              </c:numRef>
            </c:plus>
            <c:minus>
              <c:numRef>
                <c:f>Active!$D$21:$D$105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1E-4</c:v>
                  </c:pt>
                  <c:pt idx="3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-58357</c:v>
                </c:pt>
                <c:pt idx="1">
                  <c:v>-56229</c:v>
                </c:pt>
                <c:pt idx="2">
                  <c:v>-54548</c:v>
                </c:pt>
                <c:pt idx="3">
                  <c:v>-53934</c:v>
                </c:pt>
                <c:pt idx="4">
                  <c:v>-53043</c:v>
                </c:pt>
                <c:pt idx="5">
                  <c:v>-52334</c:v>
                </c:pt>
                <c:pt idx="6">
                  <c:v>-51535</c:v>
                </c:pt>
                <c:pt idx="7">
                  <c:v>-50872</c:v>
                </c:pt>
                <c:pt idx="8">
                  <c:v>-50080</c:v>
                </c:pt>
                <c:pt idx="9">
                  <c:v>-49361</c:v>
                </c:pt>
                <c:pt idx="10">
                  <c:v>-48666</c:v>
                </c:pt>
                <c:pt idx="11">
                  <c:v>-47801</c:v>
                </c:pt>
                <c:pt idx="12">
                  <c:v>-47018</c:v>
                </c:pt>
                <c:pt idx="13">
                  <c:v>-41647</c:v>
                </c:pt>
                <c:pt idx="14">
                  <c:v>-40964</c:v>
                </c:pt>
                <c:pt idx="15">
                  <c:v>-40219</c:v>
                </c:pt>
                <c:pt idx="16">
                  <c:v>-39472</c:v>
                </c:pt>
                <c:pt idx="17">
                  <c:v>-38700</c:v>
                </c:pt>
                <c:pt idx="18">
                  <c:v>-37145</c:v>
                </c:pt>
                <c:pt idx="19">
                  <c:v>-34756</c:v>
                </c:pt>
                <c:pt idx="20">
                  <c:v>-28093</c:v>
                </c:pt>
                <c:pt idx="21">
                  <c:v>-25808</c:v>
                </c:pt>
                <c:pt idx="22">
                  <c:v>-24266</c:v>
                </c:pt>
                <c:pt idx="23">
                  <c:v>-23477</c:v>
                </c:pt>
                <c:pt idx="24">
                  <c:v>-23412</c:v>
                </c:pt>
                <c:pt idx="25">
                  <c:v>-22786</c:v>
                </c:pt>
                <c:pt idx="26">
                  <c:v>-20656</c:v>
                </c:pt>
                <c:pt idx="27">
                  <c:v>-19761</c:v>
                </c:pt>
                <c:pt idx="28">
                  <c:v>-18167</c:v>
                </c:pt>
                <c:pt idx="29">
                  <c:v>-17429</c:v>
                </c:pt>
                <c:pt idx="30">
                  <c:v>-16685</c:v>
                </c:pt>
                <c:pt idx="31">
                  <c:v>-15947</c:v>
                </c:pt>
                <c:pt idx="32">
                  <c:v>-14488</c:v>
                </c:pt>
                <c:pt idx="33">
                  <c:v>-12827</c:v>
                </c:pt>
                <c:pt idx="34">
                  <c:v>-9749</c:v>
                </c:pt>
                <c:pt idx="35">
                  <c:v>-9152</c:v>
                </c:pt>
                <c:pt idx="36">
                  <c:v>0</c:v>
                </c:pt>
                <c:pt idx="37">
                  <c:v>9</c:v>
                </c:pt>
                <c:pt idx="38">
                  <c:v>2183</c:v>
                </c:pt>
              </c:numCache>
            </c:numRef>
          </c:xVal>
          <c:yVal>
            <c:numRef>
              <c:f>Active!$M$21:$M$1005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AF-4331-8D32-CEAE41DD845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1E-4</c:v>
                  </c:pt>
                  <c:pt idx="38">
                    <c:v>2.9999999999999997E-4</c:v>
                  </c:pt>
                </c:numCache>
              </c:numRef>
            </c:plus>
            <c:minus>
              <c:numRef>
                <c:f>Active!$D$21:$D$105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7">
                    <c:v>1E-4</c:v>
                  </c:pt>
                  <c:pt idx="3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-58357</c:v>
                </c:pt>
                <c:pt idx="1">
                  <c:v>-56229</c:v>
                </c:pt>
                <c:pt idx="2">
                  <c:v>-54548</c:v>
                </c:pt>
                <c:pt idx="3">
                  <c:v>-53934</c:v>
                </c:pt>
                <c:pt idx="4">
                  <c:v>-53043</c:v>
                </c:pt>
                <c:pt idx="5">
                  <c:v>-52334</c:v>
                </c:pt>
                <c:pt idx="6">
                  <c:v>-51535</c:v>
                </c:pt>
                <c:pt idx="7">
                  <c:v>-50872</c:v>
                </c:pt>
                <c:pt idx="8">
                  <c:v>-50080</c:v>
                </c:pt>
                <c:pt idx="9">
                  <c:v>-49361</c:v>
                </c:pt>
                <c:pt idx="10">
                  <c:v>-48666</c:v>
                </c:pt>
                <c:pt idx="11">
                  <c:v>-47801</c:v>
                </c:pt>
                <c:pt idx="12">
                  <c:v>-47018</c:v>
                </c:pt>
                <c:pt idx="13">
                  <c:v>-41647</c:v>
                </c:pt>
                <c:pt idx="14">
                  <c:v>-40964</c:v>
                </c:pt>
                <c:pt idx="15">
                  <c:v>-40219</c:v>
                </c:pt>
                <c:pt idx="16">
                  <c:v>-39472</c:v>
                </c:pt>
                <c:pt idx="17">
                  <c:v>-38700</c:v>
                </c:pt>
                <c:pt idx="18">
                  <c:v>-37145</c:v>
                </c:pt>
                <c:pt idx="19">
                  <c:v>-34756</c:v>
                </c:pt>
                <c:pt idx="20">
                  <c:v>-28093</c:v>
                </c:pt>
                <c:pt idx="21">
                  <c:v>-25808</c:v>
                </c:pt>
                <c:pt idx="22">
                  <c:v>-24266</c:v>
                </c:pt>
                <c:pt idx="23">
                  <c:v>-23477</c:v>
                </c:pt>
                <c:pt idx="24">
                  <c:v>-23412</c:v>
                </c:pt>
                <c:pt idx="25">
                  <c:v>-22786</c:v>
                </c:pt>
                <c:pt idx="26">
                  <c:v>-20656</c:v>
                </c:pt>
                <c:pt idx="27">
                  <c:v>-19761</c:v>
                </c:pt>
                <c:pt idx="28">
                  <c:v>-18167</c:v>
                </c:pt>
                <c:pt idx="29">
                  <c:v>-17429</c:v>
                </c:pt>
                <c:pt idx="30">
                  <c:v>-16685</c:v>
                </c:pt>
                <c:pt idx="31">
                  <c:v>-15947</c:v>
                </c:pt>
                <c:pt idx="32">
                  <c:v>-14488</c:v>
                </c:pt>
                <c:pt idx="33">
                  <c:v>-12827</c:v>
                </c:pt>
                <c:pt idx="34">
                  <c:v>-9749</c:v>
                </c:pt>
                <c:pt idx="35">
                  <c:v>-9152</c:v>
                </c:pt>
                <c:pt idx="36">
                  <c:v>0</c:v>
                </c:pt>
                <c:pt idx="37">
                  <c:v>9</c:v>
                </c:pt>
                <c:pt idx="38">
                  <c:v>2183</c:v>
                </c:pt>
              </c:numCache>
            </c:numRef>
          </c:xVal>
          <c:yVal>
            <c:numRef>
              <c:f>Active!$N$21:$N$1005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4AF-4331-8D32-CEAE41DD845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Active!$F$21:$F$1005</c:f>
              <c:numCache>
                <c:formatCode>General</c:formatCode>
                <c:ptCount val="985"/>
                <c:pt idx="0">
                  <c:v>-58357</c:v>
                </c:pt>
                <c:pt idx="1">
                  <c:v>-56229</c:v>
                </c:pt>
                <c:pt idx="2">
                  <c:v>-54548</c:v>
                </c:pt>
                <c:pt idx="3">
                  <c:v>-53934</c:v>
                </c:pt>
                <c:pt idx="4">
                  <c:v>-53043</c:v>
                </c:pt>
                <c:pt idx="5">
                  <c:v>-52334</c:v>
                </c:pt>
                <c:pt idx="6">
                  <c:v>-51535</c:v>
                </c:pt>
                <c:pt idx="7">
                  <c:v>-50872</c:v>
                </c:pt>
                <c:pt idx="8">
                  <c:v>-50080</c:v>
                </c:pt>
                <c:pt idx="9">
                  <c:v>-49361</c:v>
                </c:pt>
                <c:pt idx="10">
                  <c:v>-48666</c:v>
                </c:pt>
                <c:pt idx="11">
                  <c:v>-47801</c:v>
                </c:pt>
                <c:pt idx="12">
                  <c:v>-47018</c:v>
                </c:pt>
                <c:pt idx="13">
                  <c:v>-41647</c:v>
                </c:pt>
                <c:pt idx="14">
                  <c:v>-40964</c:v>
                </c:pt>
                <c:pt idx="15">
                  <c:v>-40219</c:v>
                </c:pt>
                <c:pt idx="16">
                  <c:v>-39472</c:v>
                </c:pt>
                <c:pt idx="17">
                  <c:v>-38700</c:v>
                </c:pt>
                <c:pt idx="18">
                  <c:v>-37145</c:v>
                </c:pt>
                <c:pt idx="19">
                  <c:v>-34756</c:v>
                </c:pt>
                <c:pt idx="20">
                  <c:v>-28093</c:v>
                </c:pt>
                <c:pt idx="21">
                  <c:v>-25808</c:v>
                </c:pt>
                <c:pt idx="22">
                  <c:v>-24266</c:v>
                </c:pt>
                <c:pt idx="23">
                  <c:v>-23477</c:v>
                </c:pt>
                <c:pt idx="24">
                  <c:v>-23412</c:v>
                </c:pt>
                <c:pt idx="25">
                  <c:v>-22786</c:v>
                </c:pt>
                <c:pt idx="26">
                  <c:v>-20656</c:v>
                </c:pt>
                <c:pt idx="27">
                  <c:v>-19761</c:v>
                </c:pt>
                <c:pt idx="28">
                  <c:v>-18167</c:v>
                </c:pt>
                <c:pt idx="29">
                  <c:v>-17429</c:v>
                </c:pt>
                <c:pt idx="30">
                  <c:v>-16685</c:v>
                </c:pt>
                <c:pt idx="31">
                  <c:v>-15947</c:v>
                </c:pt>
                <c:pt idx="32">
                  <c:v>-14488</c:v>
                </c:pt>
                <c:pt idx="33">
                  <c:v>-12827</c:v>
                </c:pt>
                <c:pt idx="34">
                  <c:v>-9749</c:v>
                </c:pt>
                <c:pt idx="35">
                  <c:v>-9152</c:v>
                </c:pt>
                <c:pt idx="36">
                  <c:v>0</c:v>
                </c:pt>
                <c:pt idx="37">
                  <c:v>9</c:v>
                </c:pt>
                <c:pt idx="38">
                  <c:v>2183</c:v>
                </c:pt>
              </c:numCache>
            </c:numRef>
          </c:xVal>
          <c:yVal>
            <c:numRef>
              <c:f>Active!$O$21:$O$1005</c:f>
              <c:numCache>
                <c:formatCode>General</c:formatCode>
                <c:ptCount val="985"/>
                <c:pt idx="23">
                  <c:v>1.3523456295461603E-2</c:v>
                </c:pt>
                <c:pt idx="24">
                  <c:v>1.3486602559467412E-2</c:v>
                </c:pt>
                <c:pt idx="25">
                  <c:v>1.3131672732815677E-2</c:v>
                </c:pt>
                <c:pt idx="26">
                  <c:v>1.1924004153313761E-2</c:v>
                </c:pt>
                <c:pt idx="27">
                  <c:v>1.1416556557701454E-2</c:v>
                </c:pt>
                <c:pt idx="28">
                  <c:v>1.0512789555013167E-2</c:v>
                </c:pt>
                <c:pt idx="29">
                  <c:v>1.0094357906340673E-2</c:v>
                </c:pt>
                <c:pt idx="30">
                  <c:v>9.6725243743456361E-3</c:v>
                </c:pt>
                <c:pt idx="31">
                  <c:v>9.2540927256731416E-3</c:v>
                </c:pt>
                <c:pt idx="32">
                  <c:v>8.4268680977420182E-3</c:v>
                </c:pt>
                <c:pt idx="33">
                  <c:v>7.4851133979520271E-3</c:v>
                </c:pt>
                <c:pt idx="34">
                  <c:v>5.7399472534886966E-3</c:v>
                </c:pt>
                <c:pt idx="35">
                  <c:v>5.4014598628959066E-3</c:v>
                </c:pt>
                <c:pt idx="36">
                  <c:v>2.1245383491396916E-4</c:v>
                </c:pt>
                <c:pt idx="37">
                  <c:v>2.0735100993015825E-4</c:v>
                </c:pt>
                <c:pt idx="38">
                  <c:v>-1.0252647139370546E-3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4AF-4331-8D32-CEAE41DD845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Active!$T$21:$T$1005</c:f>
              <c:numCache>
                <c:formatCode>General</c:formatCode>
                <c:ptCount val="985"/>
                <c:pt idx="0">
                  <c:v>-60000</c:v>
                </c:pt>
                <c:pt idx="1">
                  <c:v>-55000</c:v>
                </c:pt>
                <c:pt idx="2">
                  <c:v>-50000</c:v>
                </c:pt>
                <c:pt idx="3">
                  <c:v>-45000</c:v>
                </c:pt>
                <c:pt idx="4">
                  <c:v>-40000</c:v>
                </c:pt>
                <c:pt idx="5">
                  <c:v>-35000</c:v>
                </c:pt>
                <c:pt idx="6">
                  <c:v>-30000</c:v>
                </c:pt>
                <c:pt idx="7">
                  <c:v>-25000</c:v>
                </c:pt>
                <c:pt idx="8">
                  <c:v>-20000</c:v>
                </c:pt>
                <c:pt idx="9">
                  <c:v>-15000</c:v>
                </c:pt>
                <c:pt idx="10">
                  <c:v>-10000</c:v>
                </c:pt>
                <c:pt idx="11">
                  <c:v>-5000</c:v>
                </c:pt>
                <c:pt idx="12">
                  <c:v>0</c:v>
                </c:pt>
                <c:pt idx="13">
                  <c:v>5000</c:v>
                </c:pt>
                <c:pt idx="14">
                  <c:v>10000</c:v>
                </c:pt>
                <c:pt idx="15">
                  <c:v>15000</c:v>
                </c:pt>
              </c:numCache>
            </c:numRef>
          </c:xVal>
          <c:yVal>
            <c:numRef>
              <c:f>Active!$U$21:$U$1005</c:f>
              <c:numCache>
                <c:formatCode>General</c:formatCode>
                <c:ptCount val="985"/>
                <c:pt idx="0">
                  <c:v>-8.2070273766633103E-2</c:v>
                </c:pt>
                <c:pt idx="1">
                  <c:v>-6.5243180465711342E-2</c:v>
                </c:pt>
                <c:pt idx="2">
                  <c:v>-5.0232054443428882E-2</c:v>
                </c:pt>
                <c:pt idx="3">
                  <c:v>-3.7036895699785771E-2</c:v>
                </c:pt>
                <c:pt idx="4">
                  <c:v>-2.5657704234781989E-2</c:v>
                </c:pt>
                <c:pt idx="5">
                  <c:v>-1.6094480048417546E-2</c:v>
                </c:pt>
                <c:pt idx="6">
                  <c:v>-8.3472231406924377E-3</c:v>
                </c:pt>
                <c:pt idx="7">
                  <c:v>-2.4159335116066723E-3</c:v>
                </c:pt>
                <c:pt idx="8">
                  <c:v>1.6993888388397629E-3</c:v>
                </c:pt>
                <c:pt idx="9">
                  <c:v>3.9987439106468608E-3</c:v>
                </c:pt>
                <c:pt idx="10">
                  <c:v>4.4821317038146215E-3</c:v>
                </c:pt>
                <c:pt idx="11">
                  <c:v>3.149552218343048E-3</c:v>
                </c:pt>
                <c:pt idx="12">
                  <c:v>1.0054542321370645E-6</c:v>
                </c:pt>
                <c:pt idx="13">
                  <c:v>-4.9635085885181094E-3</c:v>
                </c:pt>
                <c:pt idx="14">
                  <c:v>-1.1743989909907694E-2</c:v>
                </c:pt>
                <c:pt idx="15">
                  <c:v>-2.0340438509936609E-2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4AF-4331-8D32-CEAE41DD8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109344"/>
        <c:axId val="1"/>
      </c:scatterChart>
      <c:valAx>
        <c:axId val="598109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38893023944144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109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67015752384184"/>
          <c:y val="0.9204921861831491"/>
          <c:w val="0.83582228838310624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47625</xdr:rowOff>
    </xdr:from>
    <xdr:to>
      <xdr:col>18</xdr:col>
      <xdr:colOff>28575</xdr:colOff>
      <xdr:row>18</xdr:row>
      <xdr:rowOff>114300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6EB8B8F-5D75-7DF1-DBE6-DC43C2C24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690" TargetMode="External"/><Relationship Id="rId2" Type="http://schemas.openxmlformats.org/officeDocument/2006/relationships/hyperlink" Target="http://www.konkoly.hu/cgi-bin/IBVS?5594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12"/>
  <sheetViews>
    <sheetView tabSelected="1" workbookViewId="0">
      <pane xSplit="14" ySplit="21" topLeftCell="O40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42</v>
      </c>
    </row>
    <row r="2" spans="1:6" x14ac:dyDescent="0.2">
      <c r="A2" t="s">
        <v>23</v>
      </c>
      <c r="B2" t="s">
        <v>43</v>
      </c>
      <c r="C2" s="36" t="s">
        <v>44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34">
        <v>52500.042000000001</v>
      </c>
      <c r="D4" s="35">
        <v>0.48182009999999997</v>
      </c>
    </row>
    <row r="5" spans="1:6" ht="13.5" thickTop="1" x14ac:dyDescent="0.2">
      <c r="A5" s="58" t="s">
        <v>77</v>
      </c>
      <c r="C5" s="59">
        <v>-9.5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52500.042000000001</v>
      </c>
    </row>
    <row r="8" spans="1:6" x14ac:dyDescent="0.2">
      <c r="A8" t="s">
        <v>3</v>
      </c>
      <c r="C8">
        <f>+D4</f>
        <v>0.48182009999999997</v>
      </c>
    </row>
    <row r="9" spans="1:6" x14ac:dyDescent="0.2">
      <c r="A9" s="18" t="s">
        <v>34</v>
      </c>
      <c r="C9" s="33">
        <v>56</v>
      </c>
      <c r="D9" s="18" t="str">
        <f>"F"&amp;C9</f>
        <v>F56</v>
      </c>
      <c r="E9" s="18" t="str">
        <f>"G"&amp;C9</f>
        <v>G56</v>
      </c>
    </row>
    <row r="10" spans="1:6" ht="13.5" thickBot="1" x14ac:dyDescent="0.25">
      <c r="C10" s="4" t="s">
        <v>18</v>
      </c>
      <c r="D10" s="4" t="s">
        <v>19</v>
      </c>
    </row>
    <row r="11" spans="1:6" x14ac:dyDescent="0.2">
      <c r="A11" t="s">
        <v>14</v>
      </c>
      <c r="C11" s="14">
        <f ca="1">INTERCEPT(INDIRECT(E9):G1005,INDIRECT(D9):$F1005)</f>
        <v>2.1245383491396916E-4</v>
      </c>
      <c r="D11" s="3">
        <f>+E11*F11</f>
        <v>1.0054542321370645E-6</v>
      </c>
      <c r="E11" s="9">
        <v>1.0054542321370645</v>
      </c>
      <c r="F11">
        <v>9.9999999999999995E-7</v>
      </c>
    </row>
    <row r="12" spans="1:6" x14ac:dyDescent="0.2">
      <c r="A12" t="s">
        <v>15</v>
      </c>
      <c r="C12" s="14">
        <f ca="1">SLOPE(INDIRECT(E9):G1005,INDIRECT(D9):$F1005)</f>
        <v>-5.6698055375676762E-7</v>
      </c>
      <c r="D12" s="3">
        <f>+E12*F12</f>
        <v>-8.1130608068611574E-7</v>
      </c>
      <c r="E12" s="10">
        <v>-8.1130608068611583</v>
      </c>
      <c r="F12">
        <v>9.9999999999999995E-8</v>
      </c>
    </row>
    <row r="13" spans="1:6" ht="13.5" thickBot="1" x14ac:dyDescent="0.25">
      <c r="A13" t="s">
        <v>17</v>
      </c>
      <c r="C13" s="3" t="s">
        <v>12</v>
      </c>
      <c r="D13" s="3">
        <f>+E13*F13</f>
        <v>-3.6319345572786721E-11</v>
      </c>
      <c r="E13" s="11">
        <v>-3.6319345572786723</v>
      </c>
      <c r="F13">
        <v>9.9999999999999994E-12</v>
      </c>
    </row>
    <row r="14" spans="1:6" x14ac:dyDescent="0.2">
      <c r="A14" t="s">
        <v>22</v>
      </c>
      <c r="E14">
        <f>SUM(R21:R950)</f>
        <v>6.1243096522380384E-3</v>
      </c>
    </row>
    <row r="15" spans="1:6" x14ac:dyDescent="0.2">
      <c r="A15" s="2" t="s">
        <v>16</v>
      </c>
      <c r="C15" s="12">
        <f ca="1">(C7+C11)+(C8+C12)*INT(MAX(F21:F3533))</f>
        <v>53551.854253035286</v>
      </c>
      <c r="D15" s="8">
        <f>+C7+INT(MAX(F21:F1588))*C8+D11+D12*INT(MAX(F21:F4023))+D13*INT(MAX(F21:F4050)^2)</f>
        <v>53551.853335144842</v>
      </c>
      <c r="E15" s="30" t="s">
        <v>35</v>
      </c>
      <c r="F15" s="29">
        <v>1</v>
      </c>
    </row>
    <row r="16" spans="1:6" x14ac:dyDescent="0.2">
      <c r="A16" s="5" t="s">
        <v>4</v>
      </c>
      <c r="C16" s="13">
        <f ca="1">+C8+C12</f>
        <v>0.48181953301944619</v>
      </c>
      <c r="D16" s="8">
        <f>+C8+D12+2*D13*MAX(F21:F896)</f>
        <v>0.48181913012365651</v>
      </c>
      <c r="E16" s="30" t="s">
        <v>36</v>
      </c>
      <c r="F16" s="31">
        <f ca="1">NOW()+15018.5+$C$9/24</f>
        <v>60323.456685879632</v>
      </c>
    </row>
    <row r="17" spans="1:32" ht="13.5" thickBot="1" x14ac:dyDescent="0.25">
      <c r="A17" s="14" t="s">
        <v>32</v>
      </c>
      <c r="C17">
        <f>COUNT(C21:C4739)</f>
        <v>39</v>
      </c>
      <c r="E17" s="30" t="s">
        <v>37</v>
      </c>
      <c r="F17" s="31">
        <f ca="1">ROUND(2*(F16-$C$7)/$C$8,0)/2+F15</f>
        <v>16238</v>
      </c>
    </row>
    <row r="18" spans="1:32" ht="14.25" thickTop="1" thickBot="1" x14ac:dyDescent="0.25">
      <c r="A18" s="5" t="s">
        <v>40</v>
      </c>
      <c r="C18" s="16">
        <f ca="1">+C15</f>
        <v>53551.854253035286</v>
      </c>
      <c r="D18" s="17">
        <f ca="1">C16</f>
        <v>0.48181953301944619</v>
      </c>
      <c r="E18" s="30" t="s">
        <v>38</v>
      </c>
      <c r="F18" s="8">
        <f ca="1">ROUND(2*(F16-$C$15)/$C$16,0)/2+F15</f>
        <v>14055</v>
      </c>
    </row>
    <row r="19" spans="1:32" ht="13.5" thickBot="1" x14ac:dyDescent="0.25">
      <c r="A19" s="5" t="s">
        <v>41</v>
      </c>
      <c r="C19" s="19">
        <f>+D15</f>
        <v>53551.853335144842</v>
      </c>
      <c r="D19" s="20">
        <f>+D16</f>
        <v>0.48181913012365651</v>
      </c>
      <c r="E19" s="30" t="s">
        <v>39</v>
      </c>
      <c r="F19" s="32">
        <f ca="1">+$C$15+$C$16*F18-15018.5-$C$5/24</f>
        <v>45305.723622956939</v>
      </c>
    </row>
    <row r="20" spans="1:32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52</v>
      </c>
      <c r="I20" s="7" t="s">
        <v>48</v>
      </c>
      <c r="J20" s="7" t="s">
        <v>55</v>
      </c>
      <c r="K20" s="7" t="s">
        <v>24</v>
      </c>
      <c r="L20" s="7" t="s">
        <v>25</v>
      </c>
      <c r="M20" s="7" t="s">
        <v>33</v>
      </c>
      <c r="N20" s="7" t="s">
        <v>26</v>
      </c>
      <c r="O20" s="7" t="s">
        <v>21</v>
      </c>
      <c r="P20" s="15" t="s">
        <v>20</v>
      </c>
      <c r="Q20" s="4" t="s">
        <v>13</v>
      </c>
      <c r="T20" s="4" t="s">
        <v>9</v>
      </c>
      <c r="U20" s="6" t="s">
        <v>20</v>
      </c>
    </row>
    <row r="21" spans="1:32" s="25" customFormat="1" x14ac:dyDescent="0.2">
      <c r="A21" s="37" t="s">
        <v>45</v>
      </c>
      <c r="B21" s="38"/>
      <c r="C21" s="39">
        <v>24382.396000000001</v>
      </c>
      <c r="D21" s="37" t="s">
        <v>46</v>
      </c>
      <c r="E21" s="25">
        <f>+(C21-C$7)/C$8</f>
        <v>-58357.146163059617</v>
      </c>
      <c r="F21" s="25">
        <f>ROUND(2*E21,0)/2</f>
        <v>-58357</v>
      </c>
      <c r="G21" s="25">
        <f>+C21-(C$7+F21*C$8)</f>
        <v>-7.0424300003651297E-2</v>
      </c>
      <c r="H21" s="25">
        <f>G21</f>
        <v>-7.0424300003651297E-2</v>
      </c>
      <c r="J21" s="26"/>
      <c r="O21"/>
      <c r="P21" s="27">
        <f>+D$11+D$12*F21+D$13*F21^2</f>
        <v>-7.6340569705156888E-2</v>
      </c>
      <c r="Q21" s="28">
        <f>+C21-15018.5</f>
        <v>9363.8960000000006</v>
      </c>
      <c r="R21" s="25">
        <f>+(P21-G21)^2</f>
        <v>3.5002247180953062E-5</v>
      </c>
      <c r="T21" s="25">
        <v>-60000</v>
      </c>
      <c r="U21" s="25">
        <f>+D$11+D$12*T21+D$13*T21^2</f>
        <v>-8.2070273766633103E-2</v>
      </c>
    </row>
    <row r="22" spans="1:32" s="25" customFormat="1" x14ac:dyDescent="0.2">
      <c r="A22" s="40" t="s">
        <v>45</v>
      </c>
      <c r="B22" s="41" t="s">
        <v>47</v>
      </c>
      <c r="C22" s="40">
        <v>25407.697</v>
      </c>
      <c r="D22" s="40" t="s">
        <v>47</v>
      </c>
      <c r="E22" s="25">
        <f t="shared" ref="E22:E59" si="0">+(C22-C$7)/C$8</f>
        <v>-56229.171427260924</v>
      </c>
      <c r="F22" s="25">
        <f t="shared" ref="F22:F59" si="1">ROUND(2*E22,0)/2</f>
        <v>-56229</v>
      </c>
      <c r="G22" s="25">
        <f t="shared" ref="G22:G59" si="2">+C22-(C$7+F22*C$8)</f>
        <v>-8.2597100001294166E-2</v>
      </c>
      <c r="H22" s="25">
        <f t="shared" ref="H22:H59" si="3">G22</f>
        <v>-8.2597100001294166E-2</v>
      </c>
      <c r="I22" s="26"/>
      <c r="O22"/>
      <c r="P22" s="27">
        <f t="shared" ref="P22:P59" si="4">+D$11+D$12*F22+D$13*F22^2</f>
        <v>-6.921095584917944E-2</v>
      </c>
      <c r="Q22" s="28">
        <f t="shared" ref="Q22:Q59" si="5">+C22-15018.5</f>
        <v>10389.197</v>
      </c>
      <c r="R22" s="25">
        <f t="shared" ref="R22:R59" si="6">+(P22-G22)^2</f>
        <v>1.7918885526119527E-4</v>
      </c>
      <c r="T22" s="25">
        <v>-55000</v>
      </c>
      <c r="U22" s="25">
        <f t="shared" ref="U22:U36" si="7">+D$11+D$12*T22+D$13*T22^2</f>
        <v>-6.5243180465711342E-2</v>
      </c>
    </row>
    <row r="23" spans="1:32" s="25" customFormat="1" x14ac:dyDescent="0.2">
      <c r="A23" s="40" t="s">
        <v>45</v>
      </c>
      <c r="B23" s="41" t="s">
        <v>47</v>
      </c>
      <c r="C23" s="40">
        <v>26217.667000000001</v>
      </c>
      <c r="D23" s="40" t="s">
        <v>47</v>
      </c>
      <c r="E23" s="25">
        <f t="shared" si="0"/>
        <v>-54548.108308474475</v>
      </c>
      <c r="F23" s="25">
        <f t="shared" si="1"/>
        <v>-54548</v>
      </c>
      <c r="G23" s="25">
        <f t="shared" si="2"/>
        <v>-5.2185200001986232E-2</v>
      </c>
      <c r="H23" s="25">
        <f t="shared" si="3"/>
        <v>-5.2185200001986232E-2</v>
      </c>
      <c r="O23"/>
      <c r="P23" s="27">
        <f t="shared" si="4"/>
        <v>-6.3811513139880399E-2</v>
      </c>
      <c r="Q23" s="28">
        <f t="shared" si="5"/>
        <v>11199.167000000001</v>
      </c>
      <c r="R23" s="25">
        <f t="shared" si="6"/>
        <v>1.3517115718037054E-4</v>
      </c>
      <c r="T23" s="25">
        <v>-50000</v>
      </c>
      <c r="U23" s="25">
        <f t="shared" si="7"/>
        <v>-5.0232054443428882E-2</v>
      </c>
    </row>
    <row r="24" spans="1:32" s="25" customFormat="1" x14ac:dyDescent="0.2">
      <c r="A24" s="40" t="s">
        <v>45</v>
      </c>
      <c r="B24" s="41" t="s">
        <v>47</v>
      </c>
      <c r="C24" s="40">
        <v>26513.49</v>
      </c>
      <c r="D24" s="40" t="s">
        <v>47</v>
      </c>
      <c r="E24" s="25">
        <f t="shared" si="0"/>
        <v>-53934.138488618475</v>
      </c>
      <c r="F24" s="25">
        <f t="shared" si="1"/>
        <v>-53934</v>
      </c>
      <c r="G24" s="25">
        <f t="shared" si="2"/>
        <v>-6.672660000185715E-2</v>
      </c>
      <c r="H24" s="25">
        <f t="shared" si="3"/>
        <v>-6.672660000185715E-2</v>
      </c>
      <c r="O24"/>
      <c r="P24" s="27">
        <f t="shared" si="4"/>
        <v>-6.1890497992115469E-2</v>
      </c>
      <c r="Q24" s="28">
        <f t="shared" si="5"/>
        <v>11494.990000000002</v>
      </c>
      <c r="R24" s="25">
        <f t="shared" si="6"/>
        <v>2.3387882648627532E-5</v>
      </c>
      <c r="T24" s="25">
        <v>-45000</v>
      </c>
      <c r="U24" s="25">
        <f t="shared" si="7"/>
        <v>-3.7036895699785771E-2</v>
      </c>
    </row>
    <row r="25" spans="1:32" s="25" customFormat="1" x14ac:dyDescent="0.2">
      <c r="A25" s="40" t="s">
        <v>45</v>
      </c>
      <c r="B25" s="41" t="s">
        <v>47</v>
      </c>
      <c r="C25" s="40">
        <v>26942.744999999999</v>
      </c>
      <c r="D25" s="40" t="s">
        <v>47</v>
      </c>
      <c r="E25" s="25">
        <f t="shared" si="0"/>
        <v>-53043.235431647627</v>
      </c>
      <c r="F25" s="25">
        <f t="shared" si="1"/>
        <v>-53043</v>
      </c>
      <c r="G25" s="25">
        <f t="shared" si="2"/>
        <v>-0.11343570000462933</v>
      </c>
      <c r="H25" s="25">
        <f t="shared" si="3"/>
        <v>-0.11343570000462933</v>
      </c>
      <c r="O25"/>
      <c r="P25" s="27">
        <f t="shared" si="4"/>
        <v>-5.9151538553482853E-2</v>
      </c>
      <c r="Q25" s="28">
        <f t="shared" si="5"/>
        <v>11924.244999999999</v>
      </c>
      <c r="R25" s="25">
        <f t="shared" si="6"/>
        <v>2.9467701844541365E-3</v>
      </c>
      <c r="T25" s="25">
        <v>-40000</v>
      </c>
      <c r="U25" s="25">
        <f t="shared" si="7"/>
        <v>-2.5657704234781989E-2</v>
      </c>
      <c r="AB25" s="25">
        <v>12</v>
      </c>
      <c r="AD25" s="25" t="s">
        <v>27</v>
      </c>
      <c r="AF25" s="25" t="s">
        <v>28</v>
      </c>
    </row>
    <row r="26" spans="1:32" s="25" customFormat="1" x14ac:dyDescent="0.2">
      <c r="A26" s="40" t="s">
        <v>45</v>
      </c>
      <c r="B26" s="41" t="s">
        <v>47</v>
      </c>
      <c r="C26" s="40">
        <v>27284.409</v>
      </c>
      <c r="D26" s="40" t="s">
        <v>47</v>
      </c>
      <c r="E26" s="25">
        <f t="shared" si="0"/>
        <v>-52334.124292448578</v>
      </c>
      <c r="F26" s="25">
        <f t="shared" si="1"/>
        <v>-52334</v>
      </c>
      <c r="G26" s="25">
        <f t="shared" si="2"/>
        <v>-5.988660000366508E-2</v>
      </c>
      <c r="H26" s="25">
        <f t="shared" si="3"/>
        <v>-5.988660000366508E-2</v>
      </c>
      <c r="O26"/>
      <c r="P26" s="27">
        <f t="shared" si="4"/>
        <v>-5.7013252976687016E-2</v>
      </c>
      <c r="Q26" s="28">
        <f t="shared" si="5"/>
        <v>12265.909</v>
      </c>
      <c r="R26" s="25">
        <f t="shared" si="6"/>
        <v>8.2561231374436792E-6</v>
      </c>
      <c r="T26" s="25">
        <v>-35000</v>
      </c>
      <c r="U26" s="25">
        <f t="shared" si="7"/>
        <v>-1.6094480048417546E-2</v>
      </c>
    </row>
    <row r="27" spans="1:32" s="25" customFormat="1" x14ac:dyDescent="0.2">
      <c r="A27" s="40" t="s">
        <v>45</v>
      </c>
      <c r="B27" s="41" t="s">
        <v>47</v>
      </c>
      <c r="C27" s="40">
        <v>27669.396000000001</v>
      </c>
      <c r="D27" s="40" t="s">
        <v>47</v>
      </c>
      <c r="E27" s="25">
        <f t="shared" si="0"/>
        <v>-51535.097850836864</v>
      </c>
      <c r="F27" s="25">
        <f t="shared" si="1"/>
        <v>-51535</v>
      </c>
      <c r="G27" s="25">
        <f t="shared" si="2"/>
        <v>-4.7146500000962988E-2</v>
      </c>
      <c r="H27" s="25">
        <f t="shared" si="3"/>
        <v>-4.7146500000962988E-2</v>
      </c>
      <c r="O27"/>
      <c r="P27" s="27">
        <f t="shared" si="4"/>
        <v>-5.4647295705020693E-2</v>
      </c>
      <c r="Q27" s="28">
        <f t="shared" si="5"/>
        <v>12650.896000000001</v>
      </c>
      <c r="R27" s="25">
        <f t="shared" si="6"/>
        <v>5.6261936194010534E-5</v>
      </c>
      <c r="T27" s="25">
        <v>-30000</v>
      </c>
      <c r="U27" s="25">
        <f t="shared" si="7"/>
        <v>-8.3472231406924377E-3</v>
      </c>
      <c r="AA27" s="25" t="s">
        <v>29</v>
      </c>
      <c r="AB27" s="25">
        <v>6</v>
      </c>
      <c r="AD27" s="25" t="s">
        <v>27</v>
      </c>
      <c r="AF27" s="25" t="s">
        <v>28</v>
      </c>
    </row>
    <row r="28" spans="1:32" s="25" customFormat="1" x14ac:dyDescent="0.2">
      <c r="A28" s="40" t="s">
        <v>45</v>
      </c>
      <c r="B28" s="41" t="s">
        <v>47</v>
      </c>
      <c r="C28" s="40">
        <v>27988.830999999998</v>
      </c>
      <c r="D28" s="40" t="s">
        <v>47</v>
      </c>
      <c r="E28" s="25">
        <f t="shared" si="0"/>
        <v>-50872.122188343747</v>
      </c>
      <c r="F28" s="25">
        <f t="shared" si="1"/>
        <v>-50872</v>
      </c>
      <c r="G28" s="25">
        <f t="shared" si="2"/>
        <v>-5.887280000388273E-2</v>
      </c>
      <c r="H28" s="25">
        <f t="shared" si="3"/>
        <v>-5.887280000388273E-2</v>
      </c>
      <c r="O28"/>
      <c r="P28" s="27">
        <f t="shared" si="4"/>
        <v>-5.271925912428161E-2</v>
      </c>
      <c r="Q28" s="28">
        <f t="shared" si="5"/>
        <v>12970.330999999998</v>
      </c>
      <c r="R28" s="25">
        <f t="shared" si="6"/>
        <v>3.7866065356922124E-5</v>
      </c>
      <c r="T28" s="25">
        <v>-25000</v>
      </c>
      <c r="U28" s="25">
        <f t="shared" si="7"/>
        <v>-2.4159335116066723E-3</v>
      </c>
    </row>
    <row r="29" spans="1:32" s="25" customFormat="1" x14ac:dyDescent="0.2">
      <c r="A29" s="40" t="s">
        <v>45</v>
      </c>
      <c r="B29" s="41" t="s">
        <v>47</v>
      </c>
      <c r="C29" s="40">
        <v>28370.436000000002</v>
      </c>
      <c r="D29" s="40" t="s">
        <v>47</v>
      </c>
      <c r="E29" s="25">
        <f t="shared" si="0"/>
        <v>-50080.114964070613</v>
      </c>
      <c r="F29" s="25">
        <f t="shared" si="1"/>
        <v>-50080</v>
      </c>
      <c r="G29" s="25">
        <f t="shared" si="2"/>
        <v>-5.5392000002029818E-2</v>
      </c>
      <c r="H29" s="25">
        <f t="shared" si="3"/>
        <v>-5.5392000002029818E-2</v>
      </c>
      <c r="O29"/>
      <c r="P29" s="27">
        <f t="shared" si="4"/>
        <v>-5.0457937165367943E-2</v>
      </c>
      <c r="Q29" s="28">
        <f t="shared" si="5"/>
        <v>13351.936000000002</v>
      </c>
      <c r="R29" s="25">
        <f t="shared" si="6"/>
        <v>2.4344976076127824E-5</v>
      </c>
      <c r="T29" s="25">
        <v>-20000</v>
      </c>
      <c r="U29" s="25">
        <f t="shared" si="7"/>
        <v>1.6993888388397629E-3</v>
      </c>
      <c r="AA29" s="25" t="s">
        <v>29</v>
      </c>
      <c r="AB29" s="25">
        <v>6</v>
      </c>
      <c r="AD29" s="25" t="s">
        <v>27</v>
      </c>
      <c r="AF29" s="25" t="s">
        <v>28</v>
      </c>
    </row>
    <row r="30" spans="1:32" s="25" customFormat="1" x14ac:dyDescent="0.2">
      <c r="A30" s="40" t="s">
        <v>45</v>
      </c>
      <c r="B30" s="41" t="s">
        <v>47</v>
      </c>
      <c r="C30" s="40">
        <v>28716.871999999999</v>
      </c>
      <c r="D30" s="40" t="s">
        <v>47</v>
      </c>
      <c r="E30" s="25">
        <f t="shared" si="0"/>
        <v>-49361.099713357755</v>
      </c>
      <c r="F30" s="25">
        <f t="shared" si="1"/>
        <v>-49361</v>
      </c>
      <c r="G30" s="25">
        <f t="shared" si="2"/>
        <v>-4.8043900002085138E-2</v>
      </c>
      <c r="H30" s="25">
        <f t="shared" si="3"/>
        <v>-4.8043900002085138E-2</v>
      </c>
      <c r="O30"/>
      <c r="P30" s="27">
        <f t="shared" si="4"/>
        <v>-4.8444502798389862E-2</v>
      </c>
      <c r="Q30" s="28">
        <f t="shared" si="5"/>
        <v>13698.371999999999</v>
      </c>
      <c r="R30" s="25">
        <f t="shared" si="6"/>
        <v>1.6048260040716376E-7</v>
      </c>
      <c r="T30" s="25">
        <v>-15000</v>
      </c>
      <c r="U30" s="25">
        <f t="shared" si="7"/>
        <v>3.9987439106468608E-3</v>
      </c>
    </row>
    <row r="31" spans="1:32" s="25" customFormat="1" x14ac:dyDescent="0.2">
      <c r="A31" s="40" t="s">
        <v>45</v>
      </c>
      <c r="B31" s="41" t="s">
        <v>47</v>
      </c>
      <c r="C31" s="40">
        <v>29051.778999999999</v>
      </c>
      <c r="D31" s="40" t="s">
        <v>47</v>
      </c>
      <c r="E31" s="25">
        <f t="shared" si="0"/>
        <v>-48666.012480591831</v>
      </c>
      <c r="F31" s="25">
        <f t="shared" si="1"/>
        <v>-48666</v>
      </c>
      <c r="G31" s="25">
        <f t="shared" si="2"/>
        <v>-6.0134000050311442E-3</v>
      </c>
      <c r="H31" s="25">
        <f t="shared" si="3"/>
        <v>-6.0134000050311442E-3</v>
      </c>
      <c r="O31"/>
      <c r="P31" s="27">
        <f t="shared" si="4"/>
        <v>-4.6533968364984531E-2</v>
      </c>
      <c r="Q31" s="28">
        <f t="shared" si="5"/>
        <v>14033.278999999999</v>
      </c>
      <c r="R31" s="25">
        <f t="shared" si="6"/>
        <v>1.6419164602136554E-3</v>
      </c>
      <c r="T31" s="25">
        <v>-10000</v>
      </c>
      <c r="U31" s="25">
        <f t="shared" si="7"/>
        <v>4.4821317038146215E-3</v>
      </c>
      <c r="AA31" s="25" t="s">
        <v>29</v>
      </c>
      <c r="AB31" s="25">
        <v>7</v>
      </c>
      <c r="AD31" s="25" t="s">
        <v>27</v>
      </c>
      <c r="AF31" s="25" t="s">
        <v>28</v>
      </c>
    </row>
    <row r="32" spans="1:32" s="25" customFormat="1" x14ac:dyDescent="0.2">
      <c r="A32" s="40" t="s">
        <v>45</v>
      </c>
      <c r="B32" s="41" t="s">
        <v>47</v>
      </c>
      <c r="C32" s="40">
        <v>29468.526999999998</v>
      </c>
      <c r="D32" s="40" t="s">
        <v>47</v>
      </c>
      <c r="E32" s="25">
        <f t="shared" si="0"/>
        <v>-47801.067244807768</v>
      </c>
      <c r="F32" s="25">
        <f t="shared" si="1"/>
        <v>-47801</v>
      </c>
      <c r="G32" s="25">
        <f t="shared" si="2"/>
        <v>-3.2399900002928916E-2</v>
      </c>
      <c r="H32" s="25">
        <f t="shared" si="3"/>
        <v>-3.2399900002928916E-2</v>
      </c>
      <c r="O32"/>
      <c r="P32" s="27">
        <f t="shared" si="4"/>
        <v>-4.4205118287172961E-2</v>
      </c>
      <c r="Q32" s="28">
        <f t="shared" si="5"/>
        <v>14450.026999999998</v>
      </c>
      <c r="R32" s="25">
        <f t="shared" si="6"/>
        <v>1.393631787386499E-4</v>
      </c>
      <c r="T32" s="25">
        <v>-5000</v>
      </c>
      <c r="U32" s="25">
        <f t="shared" si="7"/>
        <v>3.149552218343048E-3</v>
      </c>
      <c r="AA32" s="25" t="s">
        <v>29</v>
      </c>
      <c r="AB32" s="25">
        <v>6</v>
      </c>
      <c r="AD32" s="25" t="s">
        <v>27</v>
      </c>
      <c r="AF32" s="25" t="s">
        <v>28</v>
      </c>
    </row>
    <row r="33" spans="1:32" s="25" customFormat="1" x14ac:dyDescent="0.2">
      <c r="A33" s="40" t="s">
        <v>45</v>
      </c>
      <c r="B33" s="41" t="s">
        <v>47</v>
      </c>
      <c r="C33" s="40">
        <v>29845.788</v>
      </c>
      <c r="D33" s="40" t="s">
        <v>47</v>
      </c>
      <c r="E33" s="25">
        <f t="shared" si="0"/>
        <v>-47018.075833698102</v>
      </c>
      <c r="F33" s="25">
        <f t="shared" si="1"/>
        <v>-47018</v>
      </c>
      <c r="G33" s="25">
        <f t="shared" si="2"/>
        <v>-3.6538200001814403E-2</v>
      </c>
      <c r="H33" s="25">
        <f t="shared" si="3"/>
        <v>-3.6538200001814403E-2</v>
      </c>
      <c r="O33"/>
      <c r="P33" s="27">
        <f t="shared" si="4"/>
        <v>-4.2143903714531063E-2</v>
      </c>
      <c r="Q33" s="28">
        <f t="shared" si="5"/>
        <v>14827.288</v>
      </c>
      <c r="R33" s="25">
        <f t="shared" si="6"/>
        <v>3.1423914114765349E-5</v>
      </c>
      <c r="T33" s="25">
        <v>0</v>
      </c>
      <c r="U33" s="25">
        <f t="shared" si="7"/>
        <v>1.0054542321370645E-6</v>
      </c>
      <c r="AA33" s="25" t="s">
        <v>29</v>
      </c>
      <c r="AB33" s="25">
        <v>10</v>
      </c>
      <c r="AD33" s="25" t="s">
        <v>27</v>
      </c>
      <c r="AF33" s="25" t="s">
        <v>28</v>
      </c>
    </row>
    <row r="34" spans="1:32" s="25" customFormat="1" x14ac:dyDescent="0.2">
      <c r="A34" s="40" t="s">
        <v>45</v>
      </c>
      <c r="B34" s="41" t="s">
        <v>47</v>
      </c>
      <c r="C34" s="40">
        <v>32433.659</v>
      </c>
      <c r="D34" s="40" t="s">
        <v>47</v>
      </c>
      <c r="E34" s="25">
        <f t="shared" si="0"/>
        <v>-41647.044197616502</v>
      </c>
      <c r="F34" s="25">
        <f t="shared" si="1"/>
        <v>-41647</v>
      </c>
      <c r="G34" s="25">
        <f t="shared" si="2"/>
        <v>-2.1295300000929274E-2</v>
      </c>
      <c r="H34" s="25">
        <f t="shared" si="3"/>
        <v>-2.1295300000929274E-2</v>
      </c>
      <c r="N34" s="26"/>
      <c r="O34"/>
      <c r="P34" s="27">
        <f t="shared" si="4"/>
        <v>-2.9205440276237185E-2</v>
      </c>
      <c r="Q34" s="28">
        <f t="shared" si="5"/>
        <v>17415.159</v>
      </c>
      <c r="R34" s="25">
        <f t="shared" si="6"/>
        <v>6.2570319175048322E-5</v>
      </c>
      <c r="T34" s="25">
        <v>5000</v>
      </c>
      <c r="U34" s="25">
        <f t="shared" si="7"/>
        <v>-4.9635085885181094E-3</v>
      </c>
      <c r="AA34" s="25" t="s">
        <v>29</v>
      </c>
      <c r="AB34" s="25">
        <v>8</v>
      </c>
      <c r="AD34" s="25" t="s">
        <v>30</v>
      </c>
      <c r="AF34" s="25" t="s">
        <v>28</v>
      </c>
    </row>
    <row r="35" spans="1:32" s="25" customFormat="1" x14ac:dyDescent="0.2">
      <c r="A35" s="40" t="s">
        <v>45</v>
      </c>
      <c r="B35" s="41" t="s">
        <v>47</v>
      </c>
      <c r="C35" s="40">
        <v>32762.737000000001</v>
      </c>
      <c r="D35" s="40" t="s">
        <v>47</v>
      </c>
      <c r="E35" s="25">
        <f t="shared" si="0"/>
        <v>-40964.054841215635</v>
      </c>
      <c r="F35" s="25">
        <f t="shared" si="1"/>
        <v>-40964</v>
      </c>
      <c r="G35" s="25">
        <f t="shared" si="2"/>
        <v>-2.6423600000271108E-2</v>
      </c>
      <c r="H35" s="25">
        <f t="shared" si="3"/>
        <v>-2.6423600000271108E-2</v>
      </c>
      <c r="O35"/>
      <c r="P35" s="27">
        <f t="shared" si="4"/>
        <v>-2.7710304526137292E-2</v>
      </c>
      <c r="Q35" s="28">
        <f t="shared" si="5"/>
        <v>17744.237000000001</v>
      </c>
      <c r="R35" s="25">
        <f t="shared" si="6"/>
        <v>1.6556085368845202E-6</v>
      </c>
      <c r="T35" s="25">
        <v>10000</v>
      </c>
      <c r="U35" s="25">
        <f t="shared" si="7"/>
        <v>-1.1743989909907694E-2</v>
      </c>
      <c r="AA35" s="25" t="s">
        <v>29</v>
      </c>
      <c r="AB35" s="25">
        <v>5</v>
      </c>
      <c r="AD35" s="25" t="s">
        <v>27</v>
      </c>
      <c r="AF35" s="25" t="s">
        <v>28</v>
      </c>
    </row>
    <row r="36" spans="1:32" s="25" customFormat="1" x14ac:dyDescent="0.2">
      <c r="A36" s="40" t="s">
        <v>45</v>
      </c>
      <c r="B36" s="41" t="s">
        <v>47</v>
      </c>
      <c r="C36" s="40">
        <v>33121.705999999998</v>
      </c>
      <c r="D36" s="40" t="s">
        <v>47</v>
      </c>
      <c r="E36" s="25">
        <f t="shared" si="0"/>
        <v>-40219.027807266662</v>
      </c>
      <c r="F36" s="25">
        <f t="shared" si="1"/>
        <v>-40219</v>
      </c>
      <c r="G36" s="25">
        <f t="shared" si="2"/>
        <v>-1.3398100003541913E-2</v>
      </c>
      <c r="H36" s="25">
        <f t="shared" si="3"/>
        <v>-1.3398100003541913E-2</v>
      </c>
      <c r="O36"/>
      <c r="P36" s="27">
        <f t="shared" si="4"/>
        <v>-2.6118085049679968E-2</v>
      </c>
      <c r="Q36" s="28">
        <f t="shared" si="5"/>
        <v>18103.205999999998</v>
      </c>
      <c r="R36" s="25">
        <f t="shared" si="6"/>
        <v>1.6179801957397574E-4</v>
      </c>
      <c r="T36" s="25">
        <v>15000</v>
      </c>
      <c r="U36" s="25">
        <f t="shared" si="7"/>
        <v>-2.0340438509936609E-2</v>
      </c>
      <c r="AA36" s="25" t="s">
        <v>29</v>
      </c>
      <c r="AB36" s="25">
        <v>6</v>
      </c>
      <c r="AD36" s="25" t="s">
        <v>27</v>
      </c>
      <c r="AF36" s="25" t="s">
        <v>28</v>
      </c>
    </row>
    <row r="37" spans="1:32" s="25" customFormat="1" x14ac:dyDescent="0.2">
      <c r="A37" s="40" t="s">
        <v>45</v>
      </c>
      <c r="B37" s="41" t="s">
        <v>47</v>
      </c>
      <c r="C37" s="40">
        <v>33481.618999999999</v>
      </c>
      <c r="D37" s="40" t="s">
        <v>47</v>
      </c>
      <c r="E37" s="25">
        <f t="shared" si="0"/>
        <v>-39472.041535834651</v>
      </c>
      <c r="F37" s="25">
        <f t="shared" si="1"/>
        <v>-39472</v>
      </c>
      <c r="G37" s="25">
        <f t="shared" si="2"/>
        <v>-2.0012800006952602E-2</v>
      </c>
      <c r="H37" s="25">
        <f t="shared" si="3"/>
        <v>-2.0012800006952602E-2</v>
      </c>
      <c r="O37"/>
      <c r="P37" s="27">
        <f t="shared" si="4"/>
        <v>-2.4562069940825909E-2</v>
      </c>
      <c r="Q37" s="28">
        <f t="shared" si="5"/>
        <v>18463.118999999999</v>
      </c>
      <c r="R37" s="25">
        <f t="shared" si="6"/>
        <v>2.0695856931243641E-5</v>
      </c>
      <c r="AA37" s="25" t="s">
        <v>29</v>
      </c>
      <c r="AB37" s="25">
        <v>6</v>
      </c>
      <c r="AD37" s="25" t="s">
        <v>27</v>
      </c>
      <c r="AF37" s="25" t="s">
        <v>28</v>
      </c>
    </row>
    <row r="38" spans="1:32" s="25" customFormat="1" x14ac:dyDescent="0.2">
      <c r="A38" s="40" t="s">
        <v>45</v>
      </c>
      <c r="B38" s="41" t="s">
        <v>47</v>
      </c>
      <c r="C38" s="40">
        <v>33853.578000000001</v>
      </c>
      <c r="D38" s="40" t="s">
        <v>47</v>
      </c>
      <c r="E38" s="25">
        <f t="shared" si="0"/>
        <v>-38700.054231859569</v>
      </c>
      <c r="F38" s="25">
        <f t="shared" si="1"/>
        <v>-38700</v>
      </c>
      <c r="G38" s="25">
        <f t="shared" si="2"/>
        <v>-2.61300000056508E-2</v>
      </c>
      <c r="H38" s="25">
        <f t="shared" si="3"/>
        <v>-2.61300000056508E-2</v>
      </c>
      <c r="O38"/>
      <c r="P38" s="27">
        <f t="shared" si="4"/>
        <v>-2.2996569894122132E-2</v>
      </c>
      <c r="Q38" s="28">
        <f t="shared" si="5"/>
        <v>18835.078000000001</v>
      </c>
      <c r="R38" s="25">
        <f t="shared" si="6"/>
        <v>9.8183842638345596E-6</v>
      </c>
    </row>
    <row r="39" spans="1:32" s="25" customFormat="1" x14ac:dyDescent="0.2">
      <c r="A39" s="40" t="s">
        <v>45</v>
      </c>
      <c r="B39" s="41" t="s">
        <v>47</v>
      </c>
      <c r="C39" s="40">
        <v>34602.824000000001</v>
      </c>
      <c r="D39" s="40" t="s">
        <v>47</v>
      </c>
      <c r="E39" s="25">
        <f t="shared" si="0"/>
        <v>-37145.021554725514</v>
      </c>
      <c r="F39" s="25">
        <f t="shared" si="1"/>
        <v>-37145</v>
      </c>
      <c r="G39" s="25">
        <f t="shared" si="2"/>
        <v>-1.0385499997937586E-2</v>
      </c>
      <c r="H39" s="25">
        <f t="shared" si="3"/>
        <v>-1.0385499997937586E-2</v>
      </c>
      <c r="J39" s="26"/>
      <c r="O39"/>
      <c r="P39" s="27">
        <f t="shared" si="4"/>
        <v>-1.9974684460063789E-2</v>
      </c>
      <c r="Q39" s="28">
        <f t="shared" si="5"/>
        <v>19584.324000000001</v>
      </c>
      <c r="R39" s="25">
        <f t="shared" si="6"/>
        <v>9.1952458648682581E-5</v>
      </c>
      <c r="AA39" s="25" t="s">
        <v>29</v>
      </c>
      <c r="AB39" s="25">
        <v>6</v>
      </c>
      <c r="AD39" s="25" t="s">
        <v>27</v>
      </c>
      <c r="AF39" s="25" t="s">
        <v>28</v>
      </c>
    </row>
    <row r="40" spans="1:32" s="25" customFormat="1" x14ac:dyDescent="0.2">
      <c r="A40" s="40" t="s">
        <v>45</v>
      </c>
      <c r="B40" s="41" t="s">
        <v>47</v>
      </c>
      <c r="C40" s="40">
        <v>35753.885000000002</v>
      </c>
      <c r="D40" s="40" t="s">
        <v>47</v>
      </c>
      <c r="E40" s="25">
        <f t="shared" si="0"/>
        <v>-34756.036537288506</v>
      </c>
      <c r="F40" s="25">
        <f t="shared" si="1"/>
        <v>-34756</v>
      </c>
      <c r="G40" s="25">
        <f t="shared" si="2"/>
        <v>-1.7604400003619958E-2</v>
      </c>
      <c r="H40" s="25">
        <f t="shared" si="3"/>
        <v>-1.7604400003619958E-2</v>
      </c>
      <c r="J40" s="26"/>
      <c r="O40"/>
      <c r="P40" s="27">
        <f t="shared" si="4"/>
        <v>-1.5674266618279781E-2</v>
      </c>
      <c r="Q40" s="28">
        <f t="shared" si="5"/>
        <v>20735.385000000002</v>
      </c>
      <c r="R40" s="25">
        <f t="shared" si="6"/>
        <v>3.7254148852047321E-6</v>
      </c>
    </row>
    <row r="41" spans="1:32" s="25" customFormat="1" x14ac:dyDescent="0.2">
      <c r="A41" s="40" t="s">
        <v>45</v>
      </c>
      <c r="B41" s="41" t="s">
        <v>47</v>
      </c>
      <c r="C41" s="40">
        <v>38964.264999999999</v>
      </c>
      <c r="D41" s="40" t="s">
        <v>47</v>
      </c>
      <c r="E41" s="25">
        <f t="shared" si="0"/>
        <v>-28093.010233487566</v>
      </c>
      <c r="F41" s="25">
        <f t="shared" si="1"/>
        <v>-28093</v>
      </c>
      <c r="G41" s="25">
        <f t="shared" si="2"/>
        <v>-4.9307000008411705E-3</v>
      </c>
      <c r="H41" s="25">
        <f t="shared" si="3"/>
        <v>-4.9307000008411705E-3</v>
      </c>
      <c r="J41" s="26"/>
      <c r="O41"/>
      <c r="P41" s="27">
        <f t="shared" si="4"/>
        <v>-5.8708050278805345E-3</v>
      </c>
      <c r="Q41" s="28">
        <f t="shared" si="5"/>
        <v>23945.764999999999</v>
      </c>
      <c r="R41" s="25">
        <f t="shared" si="6"/>
        <v>8.8379746186468312E-7</v>
      </c>
    </row>
    <row r="42" spans="1:32" s="25" customFormat="1" x14ac:dyDescent="0.2">
      <c r="A42" s="40" t="s">
        <v>45</v>
      </c>
      <c r="B42" s="41" t="s">
        <v>47</v>
      </c>
      <c r="C42" s="40">
        <v>40065.220999999998</v>
      </c>
      <c r="D42" s="40" t="s">
        <v>47</v>
      </c>
      <c r="E42" s="25">
        <f t="shared" si="0"/>
        <v>-25808.016311482239</v>
      </c>
      <c r="F42" s="25">
        <f t="shared" si="1"/>
        <v>-25808</v>
      </c>
      <c r="G42" s="25">
        <f t="shared" si="2"/>
        <v>-7.8592000063508749E-3</v>
      </c>
      <c r="H42" s="25">
        <f t="shared" si="3"/>
        <v>-7.8592000063508749E-3</v>
      </c>
      <c r="J42" s="26"/>
      <c r="O42"/>
      <c r="P42" s="27">
        <f t="shared" si="4"/>
        <v>-3.2514113527809044E-3</v>
      </c>
      <c r="Q42" s="28">
        <f t="shared" si="5"/>
        <v>25046.720999999998</v>
      </c>
      <c r="R42" s="25">
        <f t="shared" si="6"/>
        <v>2.1231716275968161E-5</v>
      </c>
      <c r="AA42" s="25" t="s">
        <v>29</v>
      </c>
      <c r="AF42" s="25" t="s">
        <v>31</v>
      </c>
    </row>
    <row r="43" spans="1:32" s="25" customFormat="1" x14ac:dyDescent="0.2">
      <c r="A43" s="40" t="s">
        <v>45</v>
      </c>
      <c r="B43" s="41" t="s">
        <v>47</v>
      </c>
      <c r="C43" s="40">
        <v>40808.196000000004</v>
      </c>
      <c r="D43" s="40" t="s">
        <v>47</v>
      </c>
      <c r="E43" s="25">
        <f t="shared" si="0"/>
        <v>-24265.998865551683</v>
      </c>
      <c r="F43" s="25">
        <f t="shared" si="1"/>
        <v>-24266</v>
      </c>
      <c r="G43" s="25">
        <f t="shared" si="2"/>
        <v>5.4660000023432076E-4</v>
      </c>
      <c r="H43" s="25">
        <f t="shared" si="3"/>
        <v>5.4660000023432076E-4</v>
      </c>
      <c r="O43"/>
      <c r="P43" s="27">
        <f t="shared" si="4"/>
        <v>-1.6980794576524211E-3</v>
      </c>
      <c r="Q43" s="28">
        <f t="shared" si="5"/>
        <v>25789.696000000004</v>
      </c>
      <c r="R43" s="25">
        <f t="shared" si="6"/>
        <v>5.0385858686587175E-6</v>
      </c>
      <c r="AA43" s="25" t="s">
        <v>29</v>
      </c>
      <c r="AB43" s="25">
        <v>8</v>
      </c>
      <c r="AD43" s="25" t="s">
        <v>27</v>
      </c>
      <c r="AF43" s="25" t="s">
        <v>28</v>
      </c>
    </row>
    <row r="44" spans="1:32" s="25" customFormat="1" x14ac:dyDescent="0.2">
      <c r="A44" s="40" t="s">
        <v>45</v>
      </c>
      <c r="B44" s="41" t="s">
        <v>47</v>
      </c>
      <c r="C44" s="40">
        <v>41188.347999999998</v>
      </c>
      <c r="D44" s="40" t="s">
        <v>47</v>
      </c>
      <c r="E44" s="25">
        <f t="shared" si="0"/>
        <v>-23477.007289650232</v>
      </c>
      <c r="F44" s="25">
        <f t="shared" si="1"/>
        <v>-23477</v>
      </c>
      <c r="G44" s="25">
        <f t="shared" si="2"/>
        <v>-3.5123000052408315E-3</v>
      </c>
      <c r="H44" s="25">
        <f t="shared" si="3"/>
        <v>-3.5123000052408315E-3</v>
      </c>
      <c r="O44">
        <f t="shared" ref="O44:O59" ca="1" si="8">+C$11+C$12*$F44</f>
        <v>1.3523456295461603E-2</v>
      </c>
      <c r="P44" s="27">
        <f t="shared" si="4"/>
        <v>-9.7007828244101424E-4</v>
      </c>
      <c r="Q44" s="28">
        <f t="shared" si="5"/>
        <v>26169.847999999998</v>
      </c>
      <c r="R44" s="25">
        <f t="shared" si="6"/>
        <v>6.4628912878752712E-6</v>
      </c>
      <c r="AA44" s="25" t="s">
        <v>29</v>
      </c>
      <c r="AF44" s="25" t="s">
        <v>31</v>
      </c>
    </row>
    <row r="45" spans="1:32" s="25" customFormat="1" x14ac:dyDescent="0.2">
      <c r="A45" s="40" t="s">
        <v>45</v>
      </c>
      <c r="B45" s="41" t="s">
        <v>47</v>
      </c>
      <c r="C45" s="40">
        <v>41219.667000000001</v>
      </c>
      <c r="D45" s="40" t="s">
        <v>47</v>
      </c>
      <c r="E45" s="25">
        <f t="shared" si="0"/>
        <v>-23412.005850316335</v>
      </c>
      <c r="F45" s="25">
        <f t="shared" si="1"/>
        <v>-23412</v>
      </c>
      <c r="G45" s="25">
        <f t="shared" si="2"/>
        <v>-2.8187999996589497E-3</v>
      </c>
      <c r="H45" s="25">
        <f t="shared" si="3"/>
        <v>-2.8187999996589497E-3</v>
      </c>
      <c r="O45">
        <f t="shared" ca="1" si="8"/>
        <v>1.3486602559467412E-2</v>
      </c>
      <c r="P45" s="27">
        <f t="shared" si="4"/>
        <v>-9.1211962103905989E-4</v>
      </c>
      <c r="Q45" s="28">
        <f t="shared" si="5"/>
        <v>26201.167000000001</v>
      </c>
      <c r="R45" s="25">
        <f t="shared" si="6"/>
        <v>3.6354300662140863E-6</v>
      </c>
    </row>
    <row r="46" spans="1:32" s="25" customFormat="1" x14ac:dyDescent="0.2">
      <c r="A46" s="40" t="s">
        <v>45</v>
      </c>
      <c r="B46" s="41" t="s">
        <v>47</v>
      </c>
      <c r="C46" s="40">
        <v>41521.285000000003</v>
      </c>
      <c r="D46" s="40" t="s">
        <v>47</v>
      </c>
      <c r="E46" s="25">
        <f t="shared" si="0"/>
        <v>-22786.008719852074</v>
      </c>
      <c r="F46" s="25">
        <f t="shared" si="1"/>
        <v>-22786</v>
      </c>
      <c r="G46" s="25">
        <f t="shared" si="2"/>
        <v>-4.2013999991468154E-3</v>
      </c>
      <c r="H46" s="25">
        <f t="shared" si="3"/>
        <v>-4.2013999991468154E-3</v>
      </c>
      <c r="O46">
        <f t="shared" ca="1" si="8"/>
        <v>1.3131672732815677E-2</v>
      </c>
      <c r="P46" s="27">
        <f t="shared" si="4"/>
        <v>-3.6964364218954396E-4</v>
      </c>
      <c r="Q46" s="28">
        <f t="shared" si="5"/>
        <v>26502.785000000003</v>
      </c>
      <c r="R46" s="25">
        <f t="shared" si="6"/>
        <v>1.468235677908246E-5</v>
      </c>
    </row>
    <row r="47" spans="1:32" s="25" customFormat="1" x14ac:dyDescent="0.2">
      <c r="A47" s="40" t="s">
        <v>45</v>
      </c>
      <c r="B47" s="41" t="s">
        <v>47</v>
      </c>
      <c r="C47" s="40">
        <v>42547.565000000002</v>
      </c>
      <c r="D47" s="40" t="s">
        <v>47</v>
      </c>
      <c r="E47" s="25">
        <f t="shared" si="0"/>
        <v>-20656.002105350108</v>
      </c>
      <c r="F47" s="25">
        <f t="shared" si="1"/>
        <v>-20656</v>
      </c>
      <c r="G47" s="25">
        <f t="shared" si="2"/>
        <v>-1.0143999970750883E-3</v>
      </c>
      <c r="H47" s="25">
        <f t="shared" si="3"/>
        <v>-1.0143999970750883E-3</v>
      </c>
      <c r="O47">
        <f t="shared" ca="1" si="8"/>
        <v>1.1924004153313761E-2</v>
      </c>
      <c r="P47" s="27">
        <f t="shared" si="4"/>
        <v>1.2629564780435188E-3</v>
      </c>
      <c r="Q47" s="28">
        <f t="shared" si="5"/>
        <v>27529.065000000002</v>
      </c>
      <c r="R47" s="25">
        <f t="shared" si="6"/>
        <v>5.1863525147646466E-6</v>
      </c>
    </row>
    <row r="48" spans="1:32" s="25" customFormat="1" x14ac:dyDescent="0.2">
      <c r="A48" s="40" t="s">
        <v>45</v>
      </c>
      <c r="B48" s="41" t="s">
        <v>47</v>
      </c>
      <c r="C48" s="40">
        <v>42978.788</v>
      </c>
      <c r="D48" s="40" t="s">
        <v>47</v>
      </c>
      <c r="E48" s="25">
        <f t="shared" si="0"/>
        <v>-19761.01453633836</v>
      </c>
      <c r="F48" s="25">
        <f t="shared" si="1"/>
        <v>-19761</v>
      </c>
      <c r="G48" s="25">
        <f t="shared" si="2"/>
        <v>-7.0038999983808026E-3</v>
      </c>
      <c r="H48" s="25">
        <f t="shared" si="3"/>
        <v>-7.0038999983808026E-3</v>
      </c>
      <c r="O48">
        <f t="shared" ca="1" si="8"/>
        <v>1.1416556557701454E-2</v>
      </c>
      <c r="P48" s="27">
        <f t="shared" si="4"/>
        <v>1.8506250318931598E-3</v>
      </c>
      <c r="Q48" s="28">
        <f t="shared" si="5"/>
        <v>27960.288</v>
      </c>
      <c r="R48" s="25">
        <f t="shared" si="6"/>
        <v>7.8402613511748117E-5</v>
      </c>
    </row>
    <row r="49" spans="1:18" s="25" customFormat="1" x14ac:dyDescent="0.2">
      <c r="A49" s="40" t="s">
        <v>45</v>
      </c>
      <c r="B49" s="41" t="s">
        <v>47</v>
      </c>
      <c r="C49" s="40">
        <v>43746.826000000001</v>
      </c>
      <c r="D49" s="40" t="s">
        <v>47</v>
      </c>
      <c r="E49" s="25">
        <f t="shared" si="0"/>
        <v>-18166.9797503259</v>
      </c>
      <c r="F49" s="25">
        <f t="shared" si="1"/>
        <v>-18167</v>
      </c>
      <c r="G49" s="25">
        <f t="shared" si="2"/>
        <v>9.7566999975242652E-3</v>
      </c>
      <c r="H49" s="25">
        <f t="shared" si="3"/>
        <v>9.7566999975242652E-3</v>
      </c>
      <c r="O49">
        <f t="shared" ca="1" si="8"/>
        <v>1.0512789555013167E-2</v>
      </c>
      <c r="P49" s="27">
        <f t="shared" si="4"/>
        <v>2.7531702406616305E-3</v>
      </c>
      <c r="Q49" s="28">
        <f t="shared" si="5"/>
        <v>28728.326000000001</v>
      </c>
      <c r="R49" s="25">
        <f t="shared" si="6"/>
        <v>4.9049429055260393E-5</v>
      </c>
    </row>
    <row r="50" spans="1:18" s="25" customFormat="1" x14ac:dyDescent="0.2">
      <c r="A50" s="40" t="s">
        <v>45</v>
      </c>
      <c r="B50" s="41" t="s">
        <v>47</v>
      </c>
      <c r="C50" s="40">
        <v>44102.39</v>
      </c>
      <c r="D50" s="40" t="s">
        <v>47</v>
      </c>
      <c r="E50" s="25">
        <f t="shared" si="0"/>
        <v>-17429.019669374527</v>
      </c>
      <c r="F50" s="25">
        <f t="shared" si="1"/>
        <v>-17429</v>
      </c>
      <c r="G50" s="25">
        <f t="shared" si="2"/>
        <v>-9.4771000003674999E-3</v>
      </c>
      <c r="H50" s="25">
        <f t="shared" si="3"/>
        <v>-9.4771000003674999E-3</v>
      </c>
      <c r="O50">
        <f t="shared" ca="1" si="8"/>
        <v>1.0094357906340673E-2</v>
      </c>
      <c r="P50" s="27">
        <f t="shared" si="4"/>
        <v>3.1085300407718564E-3</v>
      </c>
      <c r="Q50" s="28">
        <f t="shared" si="5"/>
        <v>29083.89</v>
      </c>
      <c r="R50" s="25">
        <f t="shared" si="6"/>
        <v>1.5839808353242942E-4</v>
      </c>
    </row>
    <row r="51" spans="1:18" s="25" customFormat="1" x14ac:dyDescent="0.2">
      <c r="A51" s="40" t="s">
        <v>45</v>
      </c>
      <c r="B51" s="41" t="s">
        <v>47</v>
      </c>
      <c r="C51" s="40">
        <v>44460.868999999999</v>
      </c>
      <c r="D51" s="40" t="s">
        <v>47</v>
      </c>
      <c r="E51" s="25">
        <f t="shared" si="0"/>
        <v>-16685.009612508908</v>
      </c>
      <c r="F51" s="25">
        <f t="shared" si="1"/>
        <v>-16685</v>
      </c>
      <c r="G51" s="25">
        <f t="shared" si="2"/>
        <v>-4.6314999999594875E-3</v>
      </c>
      <c r="H51" s="25">
        <f t="shared" si="3"/>
        <v>-4.6314999999594875E-3</v>
      </c>
      <c r="O51">
        <f t="shared" ca="1" si="8"/>
        <v>9.6725243743456361E-3</v>
      </c>
      <c r="P51" s="27">
        <f t="shared" si="4"/>
        <v>3.4267329439647016E-3</v>
      </c>
      <c r="Q51" s="28">
        <f t="shared" si="5"/>
        <v>29442.368999999999</v>
      </c>
      <c r="R51" s="25">
        <f t="shared" si="6"/>
        <v>6.4935118178545103E-5</v>
      </c>
    </row>
    <row r="52" spans="1:18" s="25" customFormat="1" x14ac:dyDescent="0.2">
      <c r="A52" s="40" t="s">
        <v>45</v>
      </c>
      <c r="B52" s="41" t="s">
        <v>47</v>
      </c>
      <c r="C52" s="40">
        <v>44816.463000000003</v>
      </c>
      <c r="D52" s="40" t="s">
        <v>47</v>
      </c>
      <c r="E52" s="25">
        <f t="shared" si="0"/>
        <v>-15946.98726765446</v>
      </c>
      <c r="F52" s="25">
        <f t="shared" si="1"/>
        <v>-15947</v>
      </c>
      <c r="G52" s="25">
        <f t="shared" si="2"/>
        <v>6.1347000009845942E-3</v>
      </c>
      <c r="H52" s="25">
        <f t="shared" si="3"/>
        <v>6.1347000009845942E-3</v>
      </c>
      <c r="O52">
        <f t="shared" ca="1" si="8"/>
        <v>9.2540927256731416E-3</v>
      </c>
      <c r="P52" s="27">
        <f t="shared" si="4"/>
        <v>3.7026466453499544E-3</v>
      </c>
      <c r="Q52" s="28">
        <f t="shared" si="5"/>
        <v>29797.963000000003</v>
      </c>
      <c r="R52" s="25">
        <f t="shared" si="6"/>
        <v>5.9148835246537119E-6</v>
      </c>
    </row>
    <row r="53" spans="1:18" s="25" customFormat="1" x14ac:dyDescent="0.2">
      <c r="A53" s="40" t="s">
        <v>45</v>
      </c>
      <c r="B53" s="41" t="s">
        <v>47</v>
      </c>
      <c r="C53" s="40">
        <v>45519.428</v>
      </c>
      <c r="D53" s="40" t="s">
        <v>47</v>
      </c>
      <c r="E53" s="25">
        <f t="shared" si="0"/>
        <v>-14488.009113775041</v>
      </c>
      <c r="F53" s="25">
        <f t="shared" si="1"/>
        <v>-14488</v>
      </c>
      <c r="G53" s="25">
        <f t="shared" si="2"/>
        <v>-4.3912000037380494E-3</v>
      </c>
      <c r="H53" s="25">
        <f t="shared" si="3"/>
        <v>-4.3912000037380494E-3</v>
      </c>
      <c r="O53">
        <f t="shared" ca="1" si="8"/>
        <v>8.4268680977420182E-3</v>
      </c>
      <c r="P53" s="27">
        <f t="shared" si="4"/>
        <v>4.1316994468077401E-3</v>
      </c>
      <c r="Q53" s="28">
        <f t="shared" si="5"/>
        <v>30500.928</v>
      </c>
      <c r="R53" s="25">
        <f t="shared" si="6"/>
        <v>7.2639815044113709E-5</v>
      </c>
    </row>
    <row r="54" spans="1:18" s="25" customFormat="1" x14ac:dyDescent="0.2">
      <c r="A54" s="40" t="s">
        <v>45</v>
      </c>
      <c r="B54" s="41" t="s">
        <v>47</v>
      </c>
      <c r="C54" s="40">
        <v>46319.737999999998</v>
      </c>
      <c r="D54" s="40" t="s">
        <v>47</v>
      </c>
      <c r="E54" s="25">
        <f t="shared" si="0"/>
        <v>-12826.994971774744</v>
      </c>
      <c r="F54" s="25">
        <f t="shared" si="1"/>
        <v>-12827</v>
      </c>
      <c r="G54" s="25">
        <f t="shared" si="2"/>
        <v>2.4226999958045781E-3</v>
      </c>
      <c r="H54" s="25">
        <f t="shared" si="3"/>
        <v>2.4226999958045781E-3</v>
      </c>
      <c r="O54">
        <f t="shared" ca="1" si="8"/>
        <v>7.4851133979520271E-3</v>
      </c>
      <c r="P54" s="27">
        <f t="shared" si="4"/>
        <v>4.431936564084733E-3</v>
      </c>
      <c r="Q54" s="28">
        <f t="shared" si="5"/>
        <v>31301.237999999998</v>
      </c>
      <c r="R54" s="25">
        <f t="shared" si="6"/>
        <v>4.0370315873142136E-6</v>
      </c>
    </row>
    <row r="55" spans="1:18" s="25" customFormat="1" x14ac:dyDescent="0.2">
      <c r="A55" s="40" t="s">
        <v>45</v>
      </c>
      <c r="B55" s="41" t="s">
        <v>47</v>
      </c>
      <c r="C55" s="40">
        <v>47802.777999999998</v>
      </c>
      <c r="D55" s="40" t="s">
        <v>47</v>
      </c>
      <c r="E55" s="25">
        <f t="shared" si="0"/>
        <v>-9748.9996785107196</v>
      </c>
      <c r="F55" s="25">
        <f t="shared" si="1"/>
        <v>-9749</v>
      </c>
      <c r="G55" s="25">
        <f t="shared" si="2"/>
        <v>1.5489999350393191E-4</v>
      </c>
      <c r="H55" s="25">
        <f t="shared" si="3"/>
        <v>1.5489999350393191E-4</v>
      </c>
      <c r="O55">
        <f t="shared" ca="1" si="8"/>
        <v>5.7399472534886966E-3</v>
      </c>
      <c r="P55" s="27">
        <f t="shared" si="4"/>
        <v>4.458528837247365E-3</v>
      </c>
      <c r="Q55" s="28">
        <f t="shared" si="5"/>
        <v>32784.277999999998</v>
      </c>
      <c r="R55" s="25">
        <f t="shared" si="6"/>
        <v>1.8521221224700438E-5</v>
      </c>
    </row>
    <row r="56" spans="1:18" s="25" customFormat="1" x14ac:dyDescent="0.2">
      <c r="A56" s="40" t="s">
        <v>45</v>
      </c>
      <c r="B56" s="41" t="s">
        <v>47</v>
      </c>
      <c r="C56" s="40">
        <v>48090.43</v>
      </c>
      <c r="D56" s="40" t="s">
        <v>47</v>
      </c>
      <c r="E56" s="25">
        <f t="shared" si="0"/>
        <v>-9151.9884703855259</v>
      </c>
      <c r="F56" s="25">
        <f t="shared" si="1"/>
        <v>-9152</v>
      </c>
      <c r="G56" s="25">
        <f t="shared" si="2"/>
        <v>5.5551999976160005E-3</v>
      </c>
      <c r="H56" s="25">
        <f t="shared" si="3"/>
        <v>5.5551999976160005E-3</v>
      </c>
      <c r="O56">
        <f t="shared" ca="1" si="8"/>
        <v>5.4014598628959066E-3</v>
      </c>
      <c r="P56" s="27">
        <f t="shared" si="4"/>
        <v>4.3840028616284861E-3</v>
      </c>
      <c r="Q56" s="28">
        <f t="shared" si="5"/>
        <v>33071.93</v>
      </c>
      <c r="R56" s="25">
        <f t="shared" si="6"/>
        <v>1.3717027313453561E-6</v>
      </c>
    </row>
    <row r="57" spans="1:18" s="25" customFormat="1" x14ac:dyDescent="0.2">
      <c r="A57" s="22" t="s">
        <v>48</v>
      </c>
      <c r="B57" s="21" t="s">
        <v>49</v>
      </c>
      <c r="C57" s="22">
        <v>52500.042000000001</v>
      </c>
      <c r="D57" s="37"/>
      <c r="E57" s="25">
        <f t="shared" si="0"/>
        <v>0</v>
      </c>
      <c r="F57" s="25">
        <f t="shared" si="1"/>
        <v>0</v>
      </c>
      <c r="G57" s="25">
        <f t="shared" si="2"/>
        <v>0</v>
      </c>
      <c r="I57" s="25">
        <f>G57</f>
        <v>0</v>
      </c>
      <c r="O57">
        <f t="shared" ca="1" si="8"/>
        <v>2.1245383491396916E-4</v>
      </c>
      <c r="P57" s="27">
        <f t="shared" si="4"/>
        <v>1.0054542321370645E-6</v>
      </c>
      <c r="Q57" s="28">
        <f t="shared" si="5"/>
        <v>37481.542000000001</v>
      </c>
      <c r="R57" s="25">
        <f t="shared" si="6"/>
        <v>1.010938212922334E-12</v>
      </c>
    </row>
    <row r="58" spans="1:18" s="25" customFormat="1" x14ac:dyDescent="0.2">
      <c r="A58" s="37" t="s">
        <v>50</v>
      </c>
      <c r="B58" s="38" t="s">
        <v>49</v>
      </c>
      <c r="C58" s="42">
        <v>52504.377999999997</v>
      </c>
      <c r="D58" s="42">
        <v>1E-4</v>
      </c>
      <c r="E58" s="25">
        <f t="shared" si="0"/>
        <v>8.9992094559685096</v>
      </c>
      <c r="F58" s="25">
        <f t="shared" si="1"/>
        <v>9</v>
      </c>
      <c r="G58" s="25">
        <f t="shared" si="2"/>
        <v>-3.8090000452939421E-4</v>
      </c>
      <c r="H58" s="25">
        <f t="shared" si="3"/>
        <v>-3.8090000452939421E-4</v>
      </c>
      <c r="O58">
        <f t="shared" ca="1" si="8"/>
        <v>2.0735100993015825E-4</v>
      </c>
      <c r="P58" s="27">
        <f t="shared" si="4"/>
        <v>-6.299242361029373E-6</v>
      </c>
      <c r="Q58" s="28">
        <f t="shared" si="5"/>
        <v>37485.877999999997</v>
      </c>
      <c r="R58" s="25">
        <f t="shared" si="6"/>
        <v>1.4032573101711982E-7</v>
      </c>
    </row>
    <row r="59" spans="1:18" s="25" customFormat="1" x14ac:dyDescent="0.2">
      <c r="A59" s="37" t="s">
        <v>51</v>
      </c>
      <c r="B59" s="38" t="s">
        <v>49</v>
      </c>
      <c r="C59" s="43">
        <v>53551.854899999998</v>
      </c>
      <c r="D59" s="43">
        <v>2.9999999999999997E-4</v>
      </c>
      <c r="E59" s="25">
        <f t="shared" si="0"/>
        <v>2182.9992148521765</v>
      </c>
      <c r="F59" s="25">
        <f t="shared" si="1"/>
        <v>2183</v>
      </c>
      <c r="G59" s="25">
        <f t="shared" si="2"/>
        <v>-3.7829999928362668E-4</v>
      </c>
      <c r="H59" s="25">
        <f t="shared" si="3"/>
        <v>-3.7829999928362668E-4</v>
      </c>
      <c r="O59">
        <f t="shared" ca="1" si="8"/>
        <v>-1.0252647139370546E-3</v>
      </c>
      <c r="P59" s="27">
        <f t="shared" si="4"/>
        <v>-1.9431551617199675E-3</v>
      </c>
      <c r="Q59" s="28">
        <f t="shared" si="5"/>
        <v>38533.354899999998</v>
      </c>
      <c r="R59" s="25">
        <f t="shared" si="6"/>
        <v>2.4487716794036667E-6</v>
      </c>
    </row>
    <row r="60" spans="1:18" s="25" customFormat="1" x14ac:dyDescent="0.2">
      <c r="C60" s="24"/>
      <c r="D60" s="24"/>
      <c r="P60" s="27"/>
    </row>
    <row r="61" spans="1:18" s="25" customFormat="1" x14ac:dyDescent="0.2">
      <c r="C61" s="24"/>
      <c r="D61" s="24"/>
      <c r="P61" s="27"/>
    </row>
    <row r="62" spans="1:18" s="25" customFormat="1" x14ac:dyDescent="0.2">
      <c r="C62" s="24"/>
      <c r="D62" s="24"/>
      <c r="P62" s="27"/>
    </row>
    <row r="63" spans="1:18" s="25" customFormat="1" x14ac:dyDescent="0.2">
      <c r="C63" s="24"/>
      <c r="D63" s="24"/>
      <c r="P63" s="27"/>
    </row>
    <row r="64" spans="1:18" s="25" customFormat="1" x14ac:dyDescent="0.2">
      <c r="C64" s="24"/>
      <c r="D64" s="24"/>
      <c r="P64" s="27"/>
    </row>
    <row r="65" spans="3:16" s="25" customFormat="1" x14ac:dyDescent="0.2">
      <c r="C65" s="24"/>
      <c r="D65" s="24"/>
      <c r="P65" s="27"/>
    </row>
    <row r="66" spans="3:16" s="25" customFormat="1" x14ac:dyDescent="0.2">
      <c r="C66" s="24"/>
      <c r="D66" s="24"/>
      <c r="P66" s="27"/>
    </row>
    <row r="67" spans="3:16" s="25" customFormat="1" x14ac:dyDescent="0.2">
      <c r="C67" s="24"/>
      <c r="D67" s="24"/>
      <c r="P67" s="27"/>
    </row>
    <row r="68" spans="3:16" s="25" customFormat="1" x14ac:dyDescent="0.2">
      <c r="C68" s="24"/>
      <c r="D68" s="24"/>
      <c r="P68" s="27"/>
    </row>
    <row r="69" spans="3:16" s="25" customFormat="1" x14ac:dyDescent="0.2">
      <c r="C69" s="24"/>
      <c r="D69" s="24"/>
      <c r="P69" s="27"/>
    </row>
    <row r="70" spans="3:16" s="25" customFormat="1" x14ac:dyDescent="0.2">
      <c r="C70" s="24"/>
      <c r="D70" s="24"/>
      <c r="P70" s="27"/>
    </row>
    <row r="71" spans="3:16" s="25" customFormat="1" x14ac:dyDescent="0.2">
      <c r="C71" s="24"/>
      <c r="D71" s="24"/>
      <c r="P71" s="27"/>
    </row>
    <row r="72" spans="3:16" s="25" customFormat="1" x14ac:dyDescent="0.2">
      <c r="C72" s="24"/>
      <c r="D72" s="24"/>
      <c r="P72" s="27"/>
    </row>
    <row r="73" spans="3:16" s="25" customFormat="1" x14ac:dyDescent="0.2">
      <c r="C73" s="24"/>
      <c r="D73" s="24"/>
      <c r="P73" s="27"/>
    </row>
    <row r="74" spans="3:16" s="25" customFormat="1" x14ac:dyDescent="0.2">
      <c r="C74" s="24"/>
      <c r="D74" s="24"/>
      <c r="P74" s="27"/>
    </row>
    <row r="75" spans="3:16" s="25" customFormat="1" x14ac:dyDescent="0.2">
      <c r="C75" s="24"/>
      <c r="D75" s="24"/>
      <c r="P75" s="27"/>
    </row>
    <row r="76" spans="3:16" s="25" customFormat="1" x14ac:dyDescent="0.2">
      <c r="C76" s="24"/>
      <c r="D76" s="24"/>
      <c r="P76" s="27"/>
    </row>
    <row r="77" spans="3:16" s="25" customFormat="1" x14ac:dyDescent="0.2">
      <c r="C77" s="24"/>
      <c r="D77" s="24"/>
      <c r="P77" s="27"/>
    </row>
    <row r="78" spans="3:16" s="25" customFormat="1" x14ac:dyDescent="0.2">
      <c r="C78" s="24"/>
      <c r="D78" s="24"/>
      <c r="P78" s="27"/>
    </row>
    <row r="79" spans="3:16" s="25" customFormat="1" x14ac:dyDescent="0.2">
      <c r="C79" s="24"/>
      <c r="D79" s="24"/>
      <c r="P79" s="27"/>
    </row>
    <row r="80" spans="3:16" s="25" customFormat="1" x14ac:dyDescent="0.2">
      <c r="C80" s="24"/>
      <c r="D80" s="24"/>
      <c r="P80" s="27"/>
    </row>
    <row r="81" spans="3:16" s="25" customFormat="1" x14ac:dyDescent="0.2">
      <c r="C81" s="24"/>
      <c r="D81" s="24"/>
      <c r="P81" s="27"/>
    </row>
    <row r="82" spans="3:16" s="25" customFormat="1" x14ac:dyDescent="0.2">
      <c r="C82" s="24"/>
      <c r="D82" s="24"/>
      <c r="P82" s="27"/>
    </row>
    <row r="83" spans="3:16" s="25" customFormat="1" x14ac:dyDescent="0.2">
      <c r="C83" s="24"/>
      <c r="D83" s="24"/>
      <c r="P83" s="27"/>
    </row>
    <row r="84" spans="3:16" s="25" customFormat="1" x14ac:dyDescent="0.2">
      <c r="C84" s="24"/>
      <c r="D84" s="24"/>
      <c r="P84" s="27"/>
    </row>
    <row r="85" spans="3:16" s="25" customFormat="1" x14ac:dyDescent="0.2">
      <c r="C85" s="24"/>
      <c r="D85" s="24"/>
      <c r="P85" s="27"/>
    </row>
    <row r="86" spans="3:16" s="25" customFormat="1" x14ac:dyDescent="0.2">
      <c r="C86" s="24"/>
      <c r="D86" s="24"/>
      <c r="P86" s="27"/>
    </row>
    <row r="87" spans="3:16" s="25" customFormat="1" x14ac:dyDescent="0.2">
      <c r="C87" s="24"/>
      <c r="D87" s="24"/>
      <c r="P87" s="27"/>
    </row>
    <row r="88" spans="3:16" s="25" customFormat="1" x14ac:dyDescent="0.2">
      <c r="C88" s="24"/>
      <c r="D88" s="24"/>
      <c r="P88" s="27"/>
    </row>
    <row r="89" spans="3:16" s="25" customFormat="1" x14ac:dyDescent="0.2">
      <c r="C89" s="24"/>
      <c r="D89" s="24"/>
      <c r="P89" s="27"/>
    </row>
    <row r="90" spans="3:16" s="25" customFormat="1" x14ac:dyDescent="0.2">
      <c r="C90" s="24"/>
      <c r="D90" s="24"/>
      <c r="P90" s="27"/>
    </row>
    <row r="91" spans="3:16" s="25" customFormat="1" x14ac:dyDescent="0.2">
      <c r="C91" s="24"/>
      <c r="D91" s="24"/>
      <c r="P91" s="27"/>
    </row>
    <row r="92" spans="3:16" s="25" customFormat="1" x14ac:dyDescent="0.2">
      <c r="C92" s="24"/>
      <c r="D92" s="24"/>
      <c r="P92" s="27"/>
    </row>
    <row r="93" spans="3:16" s="25" customFormat="1" x14ac:dyDescent="0.2">
      <c r="C93" s="24"/>
      <c r="D93" s="24"/>
      <c r="P93" s="27"/>
    </row>
    <row r="94" spans="3:16" s="25" customFormat="1" x14ac:dyDescent="0.2">
      <c r="C94" s="24"/>
      <c r="D94" s="24"/>
      <c r="P94" s="27"/>
    </row>
    <row r="95" spans="3:16" s="25" customFormat="1" x14ac:dyDescent="0.2">
      <c r="C95" s="24"/>
      <c r="D95" s="24"/>
      <c r="P95" s="27"/>
    </row>
    <row r="96" spans="3:16" s="25" customFormat="1" x14ac:dyDescent="0.2">
      <c r="C96" s="24"/>
      <c r="D96" s="24"/>
      <c r="P96" s="27"/>
    </row>
    <row r="97" spans="3:16" s="25" customFormat="1" x14ac:dyDescent="0.2">
      <c r="C97" s="24"/>
      <c r="D97" s="24"/>
      <c r="P97" s="27"/>
    </row>
    <row r="98" spans="3:16" s="25" customFormat="1" x14ac:dyDescent="0.2">
      <c r="C98" s="24"/>
      <c r="D98" s="24"/>
      <c r="P98" s="27"/>
    </row>
    <row r="99" spans="3:16" s="25" customFormat="1" x14ac:dyDescent="0.2">
      <c r="C99" s="24"/>
      <c r="D99" s="24"/>
      <c r="P99" s="27"/>
    </row>
    <row r="100" spans="3:16" s="25" customFormat="1" x14ac:dyDescent="0.2">
      <c r="C100" s="24"/>
      <c r="D100" s="24"/>
      <c r="P100" s="27"/>
    </row>
    <row r="101" spans="3:16" s="25" customFormat="1" x14ac:dyDescent="0.2">
      <c r="C101" s="24"/>
      <c r="D101" s="24"/>
      <c r="P101" s="27"/>
    </row>
    <row r="102" spans="3:16" s="25" customFormat="1" x14ac:dyDescent="0.2">
      <c r="C102" s="24"/>
      <c r="D102" s="24"/>
      <c r="P102" s="27"/>
    </row>
    <row r="103" spans="3:16" s="25" customFormat="1" x14ac:dyDescent="0.2">
      <c r="C103" s="24"/>
      <c r="D103" s="24"/>
      <c r="P103" s="27"/>
    </row>
    <row r="104" spans="3:16" s="25" customFormat="1" x14ac:dyDescent="0.2">
      <c r="C104" s="24"/>
      <c r="D104" s="24"/>
      <c r="P104" s="27"/>
    </row>
    <row r="105" spans="3:16" s="25" customFormat="1" x14ac:dyDescent="0.2">
      <c r="C105" s="24"/>
      <c r="D105" s="24"/>
      <c r="P105" s="27"/>
    </row>
    <row r="106" spans="3:16" s="25" customFormat="1" x14ac:dyDescent="0.2">
      <c r="C106" s="24"/>
      <c r="D106" s="24"/>
      <c r="P106" s="27"/>
    </row>
    <row r="107" spans="3:16" s="25" customFormat="1" x14ac:dyDescent="0.2">
      <c r="C107" s="24"/>
      <c r="D107" s="24"/>
      <c r="P107" s="27"/>
    </row>
    <row r="108" spans="3:16" s="25" customFormat="1" x14ac:dyDescent="0.2">
      <c r="C108" s="24"/>
      <c r="D108" s="24"/>
      <c r="P108" s="27"/>
    </row>
    <row r="109" spans="3:16" s="25" customFormat="1" x14ac:dyDescent="0.2">
      <c r="C109" s="24"/>
      <c r="D109" s="24"/>
      <c r="P109" s="27"/>
    </row>
    <row r="110" spans="3:16" s="25" customFormat="1" x14ac:dyDescent="0.2">
      <c r="C110" s="24"/>
      <c r="D110" s="24"/>
      <c r="P110" s="27"/>
    </row>
    <row r="111" spans="3:16" s="25" customFormat="1" x14ac:dyDescent="0.2">
      <c r="C111" s="24"/>
      <c r="D111" s="24"/>
      <c r="P111" s="27"/>
    </row>
    <row r="112" spans="3:16" s="25" customFormat="1" x14ac:dyDescent="0.2">
      <c r="C112" s="24"/>
      <c r="D112" s="24"/>
      <c r="P112" s="27"/>
    </row>
    <row r="113" spans="3:16" s="25" customFormat="1" x14ac:dyDescent="0.2">
      <c r="C113" s="24"/>
      <c r="D113" s="24"/>
      <c r="P113" s="27"/>
    </row>
    <row r="114" spans="3:16" s="25" customFormat="1" x14ac:dyDescent="0.2">
      <c r="C114" s="24"/>
      <c r="D114" s="24"/>
      <c r="P114" s="27"/>
    </row>
    <row r="115" spans="3:16" s="25" customFormat="1" x14ac:dyDescent="0.2">
      <c r="C115" s="24"/>
      <c r="D115" s="24"/>
      <c r="P115" s="27"/>
    </row>
    <row r="116" spans="3:16" s="25" customFormat="1" x14ac:dyDescent="0.2">
      <c r="C116" s="24"/>
      <c r="D116" s="24"/>
      <c r="P116" s="27"/>
    </row>
    <row r="117" spans="3:16" s="25" customFormat="1" x14ac:dyDescent="0.2">
      <c r="C117" s="24"/>
      <c r="D117" s="24"/>
      <c r="P117" s="27"/>
    </row>
    <row r="118" spans="3:16" s="25" customFormat="1" x14ac:dyDescent="0.2">
      <c r="C118" s="24"/>
      <c r="D118" s="24"/>
      <c r="P118" s="27"/>
    </row>
    <row r="119" spans="3:16" s="25" customFormat="1" x14ac:dyDescent="0.2">
      <c r="C119" s="24"/>
      <c r="D119" s="24"/>
      <c r="P119" s="27"/>
    </row>
    <row r="120" spans="3:16" s="25" customFormat="1" x14ac:dyDescent="0.2">
      <c r="C120" s="24"/>
      <c r="D120" s="24"/>
      <c r="P120" s="27"/>
    </row>
    <row r="121" spans="3:16" s="25" customFormat="1" x14ac:dyDescent="0.2">
      <c r="C121" s="24"/>
      <c r="D121" s="24"/>
      <c r="P121" s="27"/>
    </row>
    <row r="122" spans="3:16" s="25" customFormat="1" x14ac:dyDescent="0.2">
      <c r="C122" s="24"/>
      <c r="D122" s="24"/>
      <c r="P122" s="27"/>
    </row>
    <row r="123" spans="3:16" s="25" customFormat="1" x14ac:dyDescent="0.2">
      <c r="C123" s="24"/>
      <c r="D123" s="24"/>
      <c r="P123" s="27"/>
    </row>
    <row r="124" spans="3:16" s="25" customFormat="1" x14ac:dyDescent="0.2">
      <c r="C124" s="24"/>
      <c r="D124" s="24"/>
      <c r="P124" s="27"/>
    </row>
    <row r="125" spans="3:16" s="25" customFormat="1" x14ac:dyDescent="0.2">
      <c r="C125" s="24"/>
      <c r="D125" s="24"/>
      <c r="P125" s="27"/>
    </row>
    <row r="126" spans="3:16" s="25" customFormat="1" x14ac:dyDescent="0.2">
      <c r="C126" s="24"/>
      <c r="D126" s="24"/>
      <c r="P126" s="27"/>
    </row>
    <row r="127" spans="3:16" s="25" customFormat="1" x14ac:dyDescent="0.2">
      <c r="C127" s="24"/>
      <c r="D127" s="24"/>
      <c r="P127" s="27"/>
    </row>
    <row r="128" spans="3:16" s="25" customFormat="1" x14ac:dyDescent="0.2">
      <c r="C128" s="24"/>
      <c r="D128" s="24"/>
      <c r="P128" s="27"/>
    </row>
    <row r="129" spans="3:16" s="25" customFormat="1" x14ac:dyDescent="0.2">
      <c r="C129" s="24"/>
      <c r="D129" s="24"/>
      <c r="P129" s="27"/>
    </row>
    <row r="130" spans="3:16" s="25" customFormat="1" x14ac:dyDescent="0.2">
      <c r="C130" s="24"/>
      <c r="D130" s="24"/>
      <c r="P130" s="27"/>
    </row>
    <row r="131" spans="3:16" s="25" customFormat="1" x14ac:dyDescent="0.2">
      <c r="C131" s="24"/>
      <c r="D131" s="24"/>
      <c r="P131" s="27"/>
    </row>
    <row r="132" spans="3:16" s="25" customFormat="1" x14ac:dyDescent="0.2">
      <c r="C132" s="24"/>
      <c r="D132" s="24"/>
      <c r="P132" s="27"/>
    </row>
    <row r="133" spans="3:16" s="25" customFormat="1" x14ac:dyDescent="0.2">
      <c r="C133" s="24"/>
      <c r="D133" s="24"/>
      <c r="P133" s="27"/>
    </row>
    <row r="134" spans="3:16" s="25" customFormat="1" x14ac:dyDescent="0.2">
      <c r="C134" s="24"/>
      <c r="D134" s="24"/>
      <c r="P134" s="27"/>
    </row>
    <row r="135" spans="3:16" s="25" customFormat="1" x14ac:dyDescent="0.2">
      <c r="C135" s="24"/>
      <c r="D135" s="24"/>
      <c r="P135" s="27"/>
    </row>
    <row r="136" spans="3:16" s="25" customFormat="1" x14ac:dyDescent="0.2">
      <c r="C136" s="24"/>
      <c r="D136" s="24"/>
      <c r="P136" s="27"/>
    </row>
    <row r="137" spans="3:16" x14ac:dyDescent="0.2">
      <c r="C137" s="23"/>
      <c r="D137" s="23"/>
      <c r="P137" s="14"/>
    </row>
    <row r="138" spans="3:16" x14ac:dyDescent="0.2">
      <c r="C138" s="23"/>
      <c r="D138" s="23"/>
      <c r="P138" s="14"/>
    </row>
    <row r="139" spans="3:16" x14ac:dyDescent="0.2">
      <c r="C139" s="23"/>
      <c r="D139" s="23"/>
      <c r="P139" s="14"/>
    </row>
    <row r="140" spans="3:16" x14ac:dyDescent="0.2">
      <c r="C140" s="23"/>
      <c r="D140" s="23"/>
      <c r="P140" s="14"/>
    </row>
    <row r="141" spans="3:16" x14ac:dyDescent="0.2">
      <c r="C141" s="23"/>
      <c r="D141" s="23"/>
      <c r="P141" s="14"/>
    </row>
    <row r="142" spans="3:16" x14ac:dyDescent="0.2">
      <c r="C142" s="23"/>
      <c r="D142" s="23"/>
      <c r="P142" s="14"/>
    </row>
    <row r="143" spans="3:16" x14ac:dyDescent="0.2">
      <c r="C143" s="23"/>
      <c r="D143" s="23"/>
      <c r="P143" s="14"/>
    </row>
    <row r="144" spans="3:16" x14ac:dyDescent="0.2">
      <c r="C144" s="23"/>
      <c r="D144" s="23"/>
      <c r="P144" s="14"/>
    </row>
    <row r="145" spans="3:16" x14ac:dyDescent="0.2">
      <c r="C145" s="23"/>
      <c r="D145" s="23"/>
      <c r="P145" s="14"/>
    </row>
    <row r="146" spans="3:16" x14ac:dyDescent="0.2">
      <c r="C146" s="23"/>
      <c r="D146" s="23"/>
      <c r="P146" s="14"/>
    </row>
    <row r="147" spans="3:16" x14ac:dyDescent="0.2">
      <c r="C147" s="23"/>
      <c r="D147" s="23"/>
      <c r="P147" s="14"/>
    </row>
    <row r="148" spans="3:16" x14ac:dyDescent="0.2">
      <c r="C148" s="23"/>
      <c r="D148" s="23"/>
      <c r="P148" s="14"/>
    </row>
    <row r="149" spans="3:16" x14ac:dyDescent="0.2">
      <c r="C149" s="23"/>
      <c r="D149" s="23"/>
      <c r="P149" s="14"/>
    </row>
    <row r="150" spans="3:16" x14ac:dyDescent="0.2">
      <c r="C150" s="23"/>
      <c r="D150" s="23"/>
      <c r="P150" s="14"/>
    </row>
    <row r="151" spans="3:16" x14ac:dyDescent="0.2">
      <c r="C151" s="23"/>
      <c r="D151" s="23"/>
      <c r="P151" s="14"/>
    </row>
    <row r="152" spans="3:16" x14ac:dyDescent="0.2">
      <c r="C152" s="23"/>
      <c r="D152" s="23"/>
      <c r="P152" s="14"/>
    </row>
    <row r="153" spans="3:16" x14ac:dyDescent="0.2">
      <c r="C153" s="23"/>
      <c r="D153" s="23"/>
      <c r="P153" s="14"/>
    </row>
    <row r="154" spans="3:16" x14ac:dyDescent="0.2">
      <c r="C154" s="23"/>
      <c r="D154" s="23"/>
      <c r="P154" s="14"/>
    </row>
    <row r="155" spans="3:16" x14ac:dyDescent="0.2">
      <c r="C155" s="23"/>
      <c r="D155" s="23"/>
      <c r="P155" s="14"/>
    </row>
    <row r="156" spans="3:16" x14ac:dyDescent="0.2">
      <c r="C156" s="23"/>
      <c r="D156" s="23"/>
      <c r="P156" s="14"/>
    </row>
    <row r="157" spans="3:16" x14ac:dyDescent="0.2">
      <c r="C157" s="23"/>
      <c r="D157" s="23"/>
      <c r="P157" s="14"/>
    </row>
    <row r="158" spans="3:16" x14ac:dyDescent="0.2">
      <c r="C158" s="23"/>
      <c r="D158" s="23"/>
      <c r="P158" s="14"/>
    </row>
    <row r="159" spans="3:16" x14ac:dyDescent="0.2">
      <c r="C159" s="23"/>
      <c r="D159" s="23"/>
      <c r="P159" s="14"/>
    </row>
    <row r="160" spans="3:16" x14ac:dyDescent="0.2">
      <c r="C160" s="23"/>
      <c r="D160" s="23"/>
      <c r="P160" s="14"/>
    </row>
    <row r="161" spans="3:16" x14ac:dyDescent="0.2">
      <c r="C161" s="23"/>
      <c r="D161" s="23"/>
      <c r="P161" s="14"/>
    </row>
    <row r="162" spans="3:16" x14ac:dyDescent="0.2">
      <c r="C162" s="23"/>
      <c r="D162" s="23"/>
      <c r="P162" s="14"/>
    </row>
    <row r="163" spans="3:16" x14ac:dyDescent="0.2">
      <c r="C163" s="23"/>
      <c r="D163" s="23"/>
      <c r="P163" s="14"/>
    </row>
    <row r="164" spans="3:16" x14ac:dyDescent="0.2">
      <c r="C164" s="23"/>
      <c r="D164" s="23"/>
      <c r="P164" s="14"/>
    </row>
    <row r="165" spans="3:16" x14ac:dyDescent="0.2">
      <c r="C165" s="23"/>
      <c r="D165" s="23"/>
      <c r="P165" s="14"/>
    </row>
    <row r="166" spans="3:16" x14ac:dyDescent="0.2">
      <c r="C166" s="23"/>
      <c r="D166" s="23"/>
      <c r="P166" s="14"/>
    </row>
    <row r="167" spans="3:16" x14ac:dyDescent="0.2">
      <c r="C167" s="23"/>
      <c r="D167" s="23"/>
      <c r="P167" s="14"/>
    </row>
    <row r="168" spans="3:16" x14ac:dyDescent="0.2">
      <c r="C168" s="23"/>
      <c r="D168" s="23"/>
      <c r="P168" s="14"/>
    </row>
    <row r="169" spans="3:16" x14ac:dyDescent="0.2">
      <c r="C169" s="23"/>
      <c r="D169" s="23"/>
      <c r="P169" s="14"/>
    </row>
    <row r="170" spans="3:16" x14ac:dyDescent="0.2">
      <c r="C170" s="23"/>
      <c r="D170" s="23"/>
      <c r="P170" s="14"/>
    </row>
    <row r="171" spans="3:16" x14ac:dyDescent="0.2">
      <c r="C171" s="23"/>
      <c r="D171" s="23"/>
      <c r="P171" s="14"/>
    </row>
    <row r="172" spans="3:16" x14ac:dyDescent="0.2">
      <c r="C172" s="23"/>
      <c r="D172" s="23"/>
      <c r="P172" s="14"/>
    </row>
    <row r="173" spans="3:16" x14ac:dyDescent="0.2">
      <c r="C173" s="23"/>
      <c r="D173" s="23"/>
      <c r="P173" s="14"/>
    </row>
    <row r="174" spans="3:16" x14ac:dyDescent="0.2">
      <c r="C174" s="23"/>
      <c r="D174" s="23"/>
      <c r="P174" s="14"/>
    </row>
    <row r="175" spans="3:16" x14ac:dyDescent="0.2">
      <c r="C175" s="23"/>
      <c r="D175" s="23"/>
      <c r="P175" s="14"/>
    </row>
    <row r="176" spans="3:16" x14ac:dyDescent="0.2">
      <c r="C176" s="23"/>
      <c r="D176" s="23"/>
      <c r="P176" s="14"/>
    </row>
    <row r="177" spans="3:16" x14ac:dyDescent="0.2">
      <c r="C177" s="23"/>
      <c r="D177" s="23"/>
      <c r="P177" s="14"/>
    </row>
    <row r="178" spans="3:16" x14ac:dyDescent="0.2">
      <c r="C178" s="23"/>
      <c r="D178" s="23"/>
      <c r="P178" s="14"/>
    </row>
    <row r="179" spans="3:16" x14ac:dyDescent="0.2">
      <c r="C179" s="23"/>
      <c r="D179" s="23"/>
      <c r="P179" s="14"/>
    </row>
    <row r="180" spans="3:16" x14ac:dyDescent="0.2">
      <c r="C180" s="23"/>
      <c r="D180" s="23"/>
      <c r="P180" s="14"/>
    </row>
    <row r="181" spans="3:16" x14ac:dyDescent="0.2">
      <c r="C181" s="23"/>
      <c r="D181" s="23"/>
      <c r="P181" s="14"/>
    </row>
    <row r="182" spans="3:16" x14ac:dyDescent="0.2">
      <c r="C182" s="23"/>
      <c r="D182" s="23"/>
      <c r="P182" s="14"/>
    </row>
    <row r="183" spans="3:16" x14ac:dyDescent="0.2">
      <c r="C183" s="23"/>
      <c r="D183" s="23"/>
      <c r="P183" s="14"/>
    </row>
    <row r="184" spans="3:16" x14ac:dyDescent="0.2">
      <c r="C184" s="23"/>
      <c r="D184" s="23"/>
      <c r="P184" s="14"/>
    </row>
    <row r="185" spans="3:16" x14ac:dyDescent="0.2">
      <c r="C185" s="23"/>
      <c r="D185" s="23"/>
      <c r="P185" s="14"/>
    </row>
    <row r="186" spans="3:16" x14ac:dyDescent="0.2">
      <c r="C186" s="23"/>
      <c r="D186" s="23"/>
      <c r="P186" s="14"/>
    </row>
    <row r="187" spans="3:16" x14ac:dyDescent="0.2">
      <c r="C187" s="23"/>
      <c r="D187" s="23"/>
      <c r="P187" s="14"/>
    </row>
    <row r="188" spans="3:16" x14ac:dyDescent="0.2">
      <c r="C188" s="23"/>
      <c r="D188" s="23"/>
      <c r="P188" s="14"/>
    </row>
    <row r="189" spans="3:16" x14ac:dyDescent="0.2">
      <c r="C189" s="23"/>
      <c r="D189" s="23"/>
      <c r="P189" s="14"/>
    </row>
    <row r="190" spans="3:16" x14ac:dyDescent="0.2">
      <c r="C190" s="23"/>
      <c r="D190" s="23"/>
      <c r="P190" s="14"/>
    </row>
    <row r="191" spans="3:16" x14ac:dyDescent="0.2">
      <c r="C191" s="23"/>
      <c r="D191" s="23"/>
      <c r="P191" s="14"/>
    </row>
    <row r="192" spans="3:16" x14ac:dyDescent="0.2">
      <c r="C192" s="23"/>
      <c r="D192" s="23"/>
      <c r="P192" s="14"/>
    </row>
    <row r="193" spans="3:16" x14ac:dyDescent="0.2">
      <c r="C193" s="23"/>
      <c r="D193" s="23"/>
      <c r="P193" s="14"/>
    </row>
    <row r="194" spans="3:16" x14ac:dyDescent="0.2">
      <c r="C194" s="23"/>
      <c r="D194" s="23"/>
      <c r="P194" s="14"/>
    </row>
    <row r="195" spans="3:16" x14ac:dyDescent="0.2">
      <c r="C195" s="23"/>
      <c r="D195" s="23"/>
      <c r="P195" s="14"/>
    </row>
    <row r="196" spans="3:16" x14ac:dyDescent="0.2">
      <c r="C196" s="23"/>
      <c r="D196" s="23"/>
      <c r="P196" s="14"/>
    </row>
    <row r="197" spans="3:16" x14ac:dyDescent="0.2">
      <c r="C197" s="23"/>
      <c r="D197" s="23"/>
      <c r="P197" s="14"/>
    </row>
    <row r="198" spans="3:16" x14ac:dyDescent="0.2">
      <c r="C198" s="23"/>
      <c r="D198" s="23"/>
      <c r="P198" s="14"/>
    </row>
    <row r="199" spans="3:16" x14ac:dyDescent="0.2">
      <c r="C199" s="23"/>
      <c r="D199" s="23"/>
      <c r="P199" s="14"/>
    </row>
    <row r="200" spans="3:16" x14ac:dyDescent="0.2">
      <c r="C200" s="23"/>
      <c r="D200" s="23"/>
      <c r="P200" s="14"/>
    </row>
    <row r="201" spans="3:16" x14ac:dyDescent="0.2">
      <c r="C201" s="23"/>
      <c r="D201" s="23"/>
      <c r="P201" s="14"/>
    </row>
    <row r="202" spans="3:16" x14ac:dyDescent="0.2">
      <c r="C202" s="23"/>
      <c r="D202" s="23"/>
      <c r="P202" s="14"/>
    </row>
    <row r="203" spans="3:16" x14ac:dyDescent="0.2">
      <c r="C203" s="23"/>
      <c r="D203" s="23"/>
      <c r="P203" s="14"/>
    </row>
    <row r="204" spans="3:16" x14ac:dyDescent="0.2">
      <c r="C204" s="23"/>
      <c r="D204" s="23"/>
      <c r="P204" s="14"/>
    </row>
    <row r="205" spans="3:16" x14ac:dyDescent="0.2">
      <c r="C205" s="23"/>
      <c r="D205" s="23"/>
      <c r="P205" s="14"/>
    </row>
    <row r="206" spans="3:16" x14ac:dyDescent="0.2">
      <c r="C206" s="23"/>
      <c r="D206" s="23"/>
      <c r="P206" s="14"/>
    </row>
    <row r="207" spans="3:16" x14ac:dyDescent="0.2">
      <c r="C207" s="23"/>
      <c r="D207" s="23"/>
      <c r="P207" s="14"/>
    </row>
    <row r="208" spans="3:16" x14ac:dyDescent="0.2">
      <c r="C208" s="23"/>
      <c r="D208" s="23"/>
      <c r="P208" s="14"/>
    </row>
    <row r="209" spans="3:16" x14ac:dyDescent="0.2">
      <c r="C209" s="23"/>
      <c r="D209" s="23"/>
      <c r="P209" s="14"/>
    </row>
    <row r="210" spans="3:16" x14ac:dyDescent="0.2">
      <c r="C210" s="23"/>
      <c r="D210" s="23"/>
      <c r="P210" s="14"/>
    </row>
    <row r="211" spans="3:16" x14ac:dyDescent="0.2">
      <c r="C211" s="23"/>
      <c r="D211" s="23"/>
      <c r="P211" s="14"/>
    </row>
    <row r="212" spans="3:16" x14ac:dyDescent="0.2">
      <c r="C212" s="23"/>
      <c r="D212" s="23"/>
      <c r="P212" s="14"/>
    </row>
    <row r="213" spans="3:16" x14ac:dyDescent="0.2">
      <c r="C213" s="23"/>
      <c r="D213" s="23"/>
      <c r="P213" s="14"/>
    </row>
    <row r="214" spans="3:16" x14ac:dyDescent="0.2">
      <c r="C214" s="23"/>
      <c r="D214" s="23"/>
      <c r="P214" s="14"/>
    </row>
    <row r="215" spans="3:16" x14ac:dyDescent="0.2">
      <c r="C215" s="23"/>
      <c r="D215" s="23"/>
      <c r="P215" s="14"/>
    </row>
    <row r="216" spans="3:16" x14ac:dyDescent="0.2">
      <c r="C216" s="23"/>
      <c r="D216" s="23"/>
      <c r="P216" s="14"/>
    </row>
    <row r="217" spans="3:16" x14ac:dyDescent="0.2">
      <c r="C217" s="23"/>
      <c r="D217" s="23"/>
      <c r="P217" s="14"/>
    </row>
    <row r="218" spans="3:16" x14ac:dyDescent="0.2">
      <c r="C218" s="23"/>
      <c r="D218" s="23"/>
      <c r="P218" s="14"/>
    </row>
    <row r="219" spans="3:16" x14ac:dyDescent="0.2">
      <c r="C219" s="23"/>
      <c r="D219" s="23"/>
      <c r="P219" s="14"/>
    </row>
    <row r="220" spans="3:16" x14ac:dyDescent="0.2">
      <c r="C220" s="23"/>
      <c r="D220" s="23"/>
      <c r="P220" s="14"/>
    </row>
    <row r="221" spans="3:16" x14ac:dyDescent="0.2">
      <c r="C221" s="23"/>
      <c r="D221" s="23"/>
      <c r="P221" s="14"/>
    </row>
    <row r="222" spans="3:16" x14ac:dyDescent="0.2">
      <c r="C222" s="23"/>
      <c r="D222" s="23"/>
      <c r="P222" s="14"/>
    </row>
    <row r="223" spans="3:16" x14ac:dyDescent="0.2">
      <c r="C223" s="23"/>
      <c r="D223" s="23"/>
      <c r="P223" s="14"/>
    </row>
    <row r="224" spans="3:16" x14ac:dyDescent="0.2">
      <c r="C224" s="23"/>
      <c r="D224" s="23"/>
      <c r="P224" s="14"/>
    </row>
    <row r="225" spans="3:16" x14ac:dyDescent="0.2">
      <c r="C225" s="23"/>
      <c r="D225" s="23"/>
      <c r="P225" s="14"/>
    </row>
    <row r="226" spans="3:16" x14ac:dyDescent="0.2">
      <c r="C226" s="23"/>
      <c r="D226" s="23"/>
      <c r="P226" s="14"/>
    </row>
    <row r="227" spans="3:16" x14ac:dyDescent="0.2">
      <c r="C227" s="23"/>
      <c r="D227" s="23"/>
      <c r="P227" s="14"/>
    </row>
    <row r="228" spans="3:16" x14ac:dyDescent="0.2">
      <c r="C228" s="23"/>
      <c r="D228" s="23"/>
      <c r="P228" s="14"/>
    </row>
    <row r="229" spans="3:16" x14ac:dyDescent="0.2">
      <c r="C229" s="23"/>
      <c r="D229" s="23"/>
      <c r="P229" s="14"/>
    </row>
    <row r="230" spans="3:16" x14ac:dyDescent="0.2">
      <c r="C230" s="23"/>
      <c r="D230" s="23"/>
      <c r="P230" s="14"/>
    </row>
    <row r="231" spans="3:16" x14ac:dyDescent="0.2">
      <c r="C231" s="23"/>
      <c r="D231" s="23"/>
      <c r="P231" s="14"/>
    </row>
    <row r="232" spans="3:16" x14ac:dyDescent="0.2">
      <c r="C232" s="23"/>
      <c r="D232" s="23"/>
      <c r="P232" s="14"/>
    </row>
    <row r="233" spans="3:16" x14ac:dyDescent="0.2">
      <c r="C233" s="23"/>
      <c r="D233" s="23"/>
      <c r="P233" s="14"/>
    </row>
    <row r="234" spans="3:16" x14ac:dyDescent="0.2">
      <c r="C234" s="23"/>
      <c r="D234" s="23"/>
      <c r="P234" s="14"/>
    </row>
    <row r="235" spans="3:16" x14ac:dyDescent="0.2">
      <c r="C235" s="23"/>
      <c r="D235" s="23"/>
      <c r="P235" s="14"/>
    </row>
    <row r="236" spans="3:16" x14ac:dyDescent="0.2">
      <c r="C236" s="23"/>
      <c r="D236" s="23"/>
      <c r="P236" s="14"/>
    </row>
    <row r="237" spans="3:16" x14ac:dyDescent="0.2">
      <c r="C237" s="23"/>
      <c r="D237" s="23"/>
      <c r="P237" s="14"/>
    </row>
    <row r="238" spans="3:16" x14ac:dyDescent="0.2">
      <c r="C238" s="23"/>
      <c r="D238" s="23"/>
      <c r="P238" s="14"/>
    </row>
    <row r="239" spans="3:16" x14ac:dyDescent="0.2">
      <c r="C239" s="23"/>
      <c r="D239" s="23"/>
      <c r="P239" s="14"/>
    </row>
    <row r="240" spans="3:16" x14ac:dyDescent="0.2">
      <c r="C240" s="23"/>
      <c r="D240" s="23"/>
      <c r="P240" s="14"/>
    </row>
    <row r="241" spans="3:16" x14ac:dyDescent="0.2">
      <c r="C241" s="23"/>
      <c r="D241" s="23"/>
      <c r="P241" s="14"/>
    </row>
    <row r="242" spans="3:16" x14ac:dyDescent="0.2">
      <c r="C242" s="23"/>
      <c r="D242" s="23"/>
      <c r="P242" s="14"/>
    </row>
    <row r="243" spans="3:16" x14ac:dyDescent="0.2">
      <c r="C243" s="23"/>
      <c r="D243" s="23"/>
      <c r="P243" s="14"/>
    </row>
    <row r="244" spans="3:16" x14ac:dyDescent="0.2">
      <c r="C244" s="23"/>
      <c r="D244" s="23"/>
      <c r="P244" s="14"/>
    </row>
    <row r="245" spans="3:16" x14ac:dyDescent="0.2">
      <c r="C245" s="23"/>
      <c r="D245" s="23"/>
      <c r="P245" s="14"/>
    </row>
    <row r="246" spans="3:16" x14ac:dyDescent="0.2">
      <c r="C246" s="23"/>
      <c r="D246" s="23"/>
      <c r="P246" s="14"/>
    </row>
    <row r="247" spans="3:16" x14ac:dyDescent="0.2">
      <c r="C247" s="23"/>
      <c r="D247" s="23"/>
      <c r="P247" s="14"/>
    </row>
    <row r="248" spans="3:16" x14ac:dyDescent="0.2">
      <c r="C248" s="23"/>
      <c r="D248" s="23"/>
      <c r="P248" s="14"/>
    </row>
    <row r="249" spans="3:16" x14ac:dyDescent="0.2">
      <c r="C249" s="23"/>
      <c r="D249" s="23"/>
      <c r="P249" s="14"/>
    </row>
    <row r="250" spans="3:16" x14ac:dyDescent="0.2">
      <c r="C250" s="23"/>
      <c r="D250" s="23"/>
      <c r="P250" s="14"/>
    </row>
    <row r="251" spans="3:16" x14ac:dyDescent="0.2">
      <c r="C251" s="23"/>
      <c r="D251" s="23"/>
      <c r="P251" s="14"/>
    </row>
    <row r="252" spans="3:16" x14ac:dyDescent="0.2">
      <c r="C252" s="23"/>
      <c r="D252" s="23"/>
      <c r="P252" s="14"/>
    </row>
    <row r="253" spans="3:16" x14ac:dyDescent="0.2">
      <c r="C253" s="23"/>
      <c r="D253" s="23"/>
      <c r="P253" s="14"/>
    </row>
    <row r="254" spans="3:16" x14ac:dyDescent="0.2">
      <c r="C254" s="23"/>
      <c r="D254" s="23"/>
      <c r="P254" s="14"/>
    </row>
    <row r="255" spans="3:16" x14ac:dyDescent="0.2">
      <c r="C255" s="23"/>
      <c r="D255" s="23"/>
      <c r="P255" s="14"/>
    </row>
    <row r="256" spans="3:16" x14ac:dyDescent="0.2">
      <c r="C256" s="23"/>
      <c r="D256" s="23"/>
      <c r="P256" s="14"/>
    </row>
    <row r="257" spans="3:16" x14ac:dyDescent="0.2">
      <c r="C257" s="23"/>
      <c r="D257" s="23"/>
      <c r="P257" s="14"/>
    </row>
    <row r="258" spans="3:16" x14ac:dyDescent="0.2">
      <c r="C258" s="23"/>
      <c r="D258" s="23"/>
      <c r="P258" s="14"/>
    </row>
    <row r="259" spans="3:16" x14ac:dyDescent="0.2">
      <c r="C259" s="23"/>
      <c r="D259" s="23"/>
      <c r="P259" s="14"/>
    </row>
    <row r="260" spans="3:16" x14ac:dyDescent="0.2">
      <c r="C260" s="23"/>
      <c r="D260" s="23"/>
      <c r="P260" s="14"/>
    </row>
    <row r="261" spans="3:16" x14ac:dyDescent="0.2">
      <c r="C261" s="23"/>
      <c r="D261" s="23"/>
      <c r="P261" s="14"/>
    </row>
    <row r="262" spans="3:16" x14ac:dyDescent="0.2">
      <c r="C262" s="23"/>
      <c r="D262" s="23"/>
      <c r="P262" s="14"/>
    </row>
    <row r="263" spans="3:16" x14ac:dyDescent="0.2">
      <c r="C263" s="23"/>
      <c r="D263" s="23"/>
      <c r="P263" s="14"/>
    </row>
    <row r="264" spans="3:16" x14ac:dyDescent="0.2">
      <c r="C264" s="23"/>
      <c r="D264" s="23"/>
      <c r="P264" s="14"/>
    </row>
    <row r="265" spans="3:16" x14ac:dyDescent="0.2">
      <c r="C265" s="23"/>
      <c r="D265" s="23"/>
      <c r="P265" s="14"/>
    </row>
    <row r="266" spans="3:16" x14ac:dyDescent="0.2">
      <c r="C266" s="23"/>
      <c r="D266" s="23"/>
      <c r="P266" s="14"/>
    </row>
    <row r="267" spans="3:16" x14ac:dyDescent="0.2">
      <c r="C267" s="23"/>
      <c r="D267" s="23"/>
      <c r="P267" s="14"/>
    </row>
    <row r="268" spans="3:16" x14ac:dyDescent="0.2">
      <c r="C268" s="23"/>
      <c r="D268" s="23"/>
      <c r="P268" s="14"/>
    </row>
    <row r="269" spans="3:16" x14ac:dyDescent="0.2">
      <c r="C269" s="23"/>
      <c r="D269" s="23"/>
      <c r="P269" s="14"/>
    </row>
    <row r="270" spans="3:16" x14ac:dyDescent="0.2">
      <c r="P270" s="14"/>
    </row>
    <row r="271" spans="3:16" x14ac:dyDescent="0.2">
      <c r="P271" s="14"/>
    </row>
    <row r="272" spans="3:16" x14ac:dyDescent="0.2">
      <c r="P272" s="14"/>
    </row>
    <row r="273" spans="16:16" x14ac:dyDescent="0.2">
      <c r="P273" s="14"/>
    </row>
    <row r="274" spans="16:16" x14ac:dyDescent="0.2">
      <c r="P274" s="14"/>
    </row>
    <row r="275" spans="16:16" x14ac:dyDescent="0.2">
      <c r="P275" s="14"/>
    </row>
    <row r="276" spans="16:16" x14ac:dyDescent="0.2">
      <c r="P276" s="14"/>
    </row>
    <row r="277" spans="16:16" x14ac:dyDescent="0.2">
      <c r="P277" s="14"/>
    </row>
    <row r="278" spans="16:16" x14ac:dyDescent="0.2">
      <c r="P278" s="14"/>
    </row>
    <row r="279" spans="16:16" x14ac:dyDescent="0.2">
      <c r="P279" s="14"/>
    </row>
    <row r="280" spans="16:16" x14ac:dyDescent="0.2">
      <c r="P280" s="14"/>
    </row>
    <row r="281" spans="16:16" x14ac:dyDescent="0.2">
      <c r="P281" s="14"/>
    </row>
    <row r="282" spans="16:16" x14ac:dyDescent="0.2">
      <c r="P282" s="14"/>
    </row>
    <row r="283" spans="16:16" x14ac:dyDescent="0.2">
      <c r="P283" s="14"/>
    </row>
    <row r="284" spans="16:16" x14ac:dyDescent="0.2">
      <c r="P284" s="14"/>
    </row>
    <row r="285" spans="16:16" x14ac:dyDescent="0.2">
      <c r="P285" s="14"/>
    </row>
    <row r="286" spans="16:16" x14ac:dyDescent="0.2">
      <c r="P286" s="14"/>
    </row>
    <row r="287" spans="16:16" x14ac:dyDescent="0.2">
      <c r="P287" s="14"/>
    </row>
    <row r="288" spans="16:16" x14ac:dyDescent="0.2">
      <c r="P288" s="14"/>
    </row>
    <row r="289" spans="16:16" x14ac:dyDescent="0.2">
      <c r="P289" s="14"/>
    </row>
    <row r="290" spans="16:16" x14ac:dyDescent="0.2">
      <c r="P290" s="14"/>
    </row>
    <row r="291" spans="16:16" x14ac:dyDescent="0.2">
      <c r="P291" s="14"/>
    </row>
    <row r="292" spans="16:16" x14ac:dyDescent="0.2">
      <c r="P292" s="14"/>
    </row>
    <row r="293" spans="16:16" x14ac:dyDescent="0.2">
      <c r="P293" s="14"/>
    </row>
    <row r="294" spans="16:16" x14ac:dyDescent="0.2">
      <c r="P294" s="14"/>
    </row>
    <row r="295" spans="16:16" x14ac:dyDescent="0.2">
      <c r="P295" s="14"/>
    </row>
    <row r="296" spans="16:16" x14ac:dyDescent="0.2">
      <c r="P296" s="14"/>
    </row>
    <row r="297" spans="16:16" x14ac:dyDescent="0.2">
      <c r="P297" s="14"/>
    </row>
    <row r="298" spans="16:16" x14ac:dyDescent="0.2">
      <c r="P298" s="14"/>
    </row>
    <row r="299" spans="16:16" x14ac:dyDescent="0.2">
      <c r="P299" s="14"/>
    </row>
    <row r="300" spans="16:16" x14ac:dyDescent="0.2">
      <c r="P300" s="14"/>
    </row>
    <row r="301" spans="16:16" x14ac:dyDescent="0.2">
      <c r="P301" s="14"/>
    </row>
    <row r="302" spans="16:16" x14ac:dyDescent="0.2">
      <c r="P302" s="14"/>
    </row>
    <row r="303" spans="16:16" x14ac:dyDescent="0.2">
      <c r="P303" s="14"/>
    </row>
    <row r="304" spans="16:16" x14ac:dyDescent="0.2">
      <c r="P304" s="14"/>
    </row>
    <row r="305" spans="16:16" x14ac:dyDescent="0.2">
      <c r="P305" s="14"/>
    </row>
    <row r="306" spans="16:16" x14ac:dyDescent="0.2">
      <c r="P306" s="14"/>
    </row>
    <row r="307" spans="16:16" x14ac:dyDescent="0.2">
      <c r="P307" s="14"/>
    </row>
    <row r="308" spans="16:16" x14ac:dyDescent="0.2">
      <c r="P308" s="14"/>
    </row>
    <row r="309" spans="16:16" x14ac:dyDescent="0.2">
      <c r="P309" s="14"/>
    </row>
    <row r="310" spans="16:16" x14ac:dyDescent="0.2">
      <c r="P310" s="14"/>
    </row>
    <row r="311" spans="16:16" x14ac:dyDescent="0.2">
      <c r="P311" s="14"/>
    </row>
    <row r="312" spans="16:16" x14ac:dyDescent="0.2">
      <c r="P312" s="14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1"/>
  <sheetViews>
    <sheetView workbookViewId="0">
      <selection activeCell="E11" sqref="E11:E12"/>
    </sheetView>
  </sheetViews>
  <sheetFormatPr defaultRowHeight="12.75" x14ac:dyDescent="0.2"/>
  <cols>
    <col min="1" max="1" width="19.7109375" style="23" customWidth="1"/>
    <col min="2" max="2" width="4.42578125" style="45" customWidth="1"/>
    <col min="3" max="3" width="12.7109375" style="23" customWidth="1"/>
    <col min="4" max="4" width="5.42578125" style="45" customWidth="1"/>
    <col min="5" max="5" width="14.85546875" style="45" customWidth="1"/>
    <col min="6" max="6" width="9.140625" style="45"/>
    <col min="7" max="7" width="12" style="45" customWidth="1"/>
    <col min="8" max="8" width="14.140625" style="23" customWidth="1"/>
    <col min="9" max="9" width="22.5703125" style="45" customWidth="1"/>
    <col min="10" max="10" width="25.140625" style="45" customWidth="1"/>
    <col min="11" max="11" width="15.7109375" style="45" customWidth="1"/>
    <col min="12" max="12" width="14.140625" style="45" customWidth="1"/>
    <col min="13" max="13" width="9.5703125" style="45" customWidth="1"/>
    <col min="14" max="14" width="14.140625" style="45" customWidth="1"/>
    <col min="15" max="15" width="23.42578125" style="45" customWidth="1"/>
    <col min="16" max="16" width="16.5703125" style="45" customWidth="1"/>
    <col min="17" max="17" width="41" style="45" customWidth="1"/>
    <col min="18" max="16384" width="9.140625" style="45"/>
  </cols>
  <sheetData>
    <row r="1" spans="1:16" ht="15.75" x14ac:dyDescent="0.25">
      <c r="A1" s="44" t="s">
        <v>53</v>
      </c>
      <c r="I1" s="46" t="s">
        <v>54</v>
      </c>
      <c r="J1" s="47" t="s">
        <v>55</v>
      </c>
    </row>
    <row r="2" spans="1:16" x14ac:dyDescent="0.2">
      <c r="I2" s="48" t="s">
        <v>43</v>
      </c>
      <c r="J2" s="49" t="s">
        <v>56</v>
      </c>
    </row>
    <row r="3" spans="1:16" x14ac:dyDescent="0.2">
      <c r="A3" s="50" t="s">
        <v>57</v>
      </c>
      <c r="I3" s="48" t="s">
        <v>58</v>
      </c>
      <c r="J3" s="49" t="s">
        <v>59</v>
      </c>
    </row>
    <row r="4" spans="1:16" x14ac:dyDescent="0.2">
      <c r="I4" s="48" t="s">
        <v>60</v>
      </c>
      <c r="J4" s="49" t="s">
        <v>59</v>
      </c>
    </row>
    <row r="5" spans="1:16" ht="13.5" thickBot="1" x14ac:dyDescent="0.25">
      <c r="I5" s="51" t="s">
        <v>61</v>
      </c>
      <c r="J5" s="52" t="s">
        <v>62</v>
      </c>
    </row>
    <row r="10" spans="1:16" ht="13.5" thickBot="1" x14ac:dyDescent="0.25"/>
    <row r="11" spans="1:16" ht="12.75" customHeight="1" thickBot="1" x14ac:dyDescent="0.25">
      <c r="A11" s="23" t="str">
        <f>P11</f>
        <v>IBVS 5594 </v>
      </c>
      <c r="B11" s="3" t="str">
        <f>IF(H11=INT(H11),"I","II")</f>
        <v>I</v>
      </c>
      <c r="C11" s="23">
        <f>1*G11</f>
        <v>52504.377999999997</v>
      </c>
      <c r="D11" s="45" t="str">
        <f>VLOOKUP(F11,I$1:J$5,2,FALSE)</f>
        <v>vis</v>
      </c>
      <c r="E11" s="53">
        <f>VLOOKUP(C11,Active!C$21:E$973,3,FALSE)</f>
        <v>8.9992094559685096</v>
      </c>
      <c r="F11" s="3" t="s">
        <v>61</v>
      </c>
      <c r="G11" s="45" t="str">
        <f>MID(I11,3,LEN(I11)-3)</f>
        <v>52504.3780</v>
      </c>
      <c r="H11" s="23">
        <f>1*K11</f>
        <v>-2174</v>
      </c>
      <c r="I11" s="54" t="s">
        <v>63</v>
      </c>
      <c r="J11" s="55" t="s">
        <v>64</v>
      </c>
      <c r="K11" s="54">
        <v>-2174</v>
      </c>
      <c r="L11" s="54" t="s">
        <v>65</v>
      </c>
      <c r="M11" s="55" t="s">
        <v>66</v>
      </c>
      <c r="N11" s="55" t="s">
        <v>67</v>
      </c>
      <c r="O11" s="56" t="s">
        <v>68</v>
      </c>
      <c r="P11" s="57" t="s">
        <v>69</v>
      </c>
    </row>
    <row r="12" spans="1:16" ht="12.75" customHeight="1" thickBot="1" x14ac:dyDescent="0.25">
      <c r="A12" s="23" t="str">
        <f>P12</f>
        <v>IBVS 5690 </v>
      </c>
      <c r="B12" s="3" t="str">
        <f>IF(H12=INT(H12),"I","II")</f>
        <v>I</v>
      </c>
      <c r="C12" s="23">
        <f>1*G12</f>
        <v>53551.854899999998</v>
      </c>
      <c r="D12" s="45" t="str">
        <f>VLOOKUP(F12,I$1:J$5,2,FALSE)</f>
        <v>vis</v>
      </c>
      <c r="E12" s="53">
        <f>VLOOKUP(C12,Active!C$21:E$973,3,FALSE)</f>
        <v>2182.9992148521765</v>
      </c>
      <c r="F12" s="3" t="s">
        <v>61</v>
      </c>
      <c r="G12" s="45" t="str">
        <f>MID(I12,3,LEN(I12)-3)</f>
        <v>53551.8549</v>
      </c>
      <c r="H12" s="23">
        <f>1*K12</f>
        <v>0</v>
      </c>
      <c r="I12" s="54" t="s">
        <v>70</v>
      </c>
      <c r="J12" s="55" t="s">
        <v>71</v>
      </c>
      <c r="K12" s="54">
        <v>0</v>
      </c>
      <c r="L12" s="54" t="s">
        <v>72</v>
      </c>
      <c r="M12" s="55" t="s">
        <v>73</v>
      </c>
      <c r="N12" s="55" t="s">
        <v>74</v>
      </c>
      <c r="O12" s="56" t="s">
        <v>75</v>
      </c>
      <c r="P12" s="57" t="s">
        <v>76</v>
      </c>
    </row>
    <row r="13" spans="1:16" x14ac:dyDescent="0.2">
      <c r="B13" s="3"/>
      <c r="F13" s="3"/>
    </row>
    <row r="14" spans="1:16" x14ac:dyDescent="0.2">
      <c r="B14" s="3"/>
      <c r="F14" s="3"/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</sheetData>
  <phoneticPr fontId="8" type="noConversion"/>
  <hyperlinks>
    <hyperlink ref="A3" r:id="rId1"/>
    <hyperlink ref="P11" r:id="rId2" display="http://www.konkoly.hu/cgi-bin/IBVS?5594"/>
    <hyperlink ref="P12" r:id="rId3" display="http://www.konkoly.hu/cgi-bin/IBVS?569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2024-01-11T04:27:37Z</dcterms:modified>
</cp:coreProperties>
</file>