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31087C1-E947-4966-BF32-A4883E866C4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" sheetId="3" r:id="rId2"/>
    <sheet name="BAV" sheetId="4" r:id="rId3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Q26" i="1"/>
  <c r="Q27" i="1"/>
  <c r="Q28" i="1"/>
  <c r="H25" i="4"/>
  <c r="B25" i="4"/>
  <c r="G25" i="4"/>
  <c r="D25" i="4"/>
  <c r="C25" i="4"/>
  <c r="A25" i="4"/>
  <c r="H24" i="4"/>
  <c r="G24" i="4"/>
  <c r="D24" i="4"/>
  <c r="C24" i="4"/>
  <c r="B24" i="4"/>
  <c r="A24" i="4"/>
  <c r="H23" i="4"/>
  <c r="G23" i="4"/>
  <c r="D23" i="4"/>
  <c r="C23" i="4"/>
  <c r="B23" i="4"/>
  <c r="A23" i="4"/>
  <c r="H22" i="4"/>
  <c r="B22" i="4"/>
  <c r="G22" i="4"/>
  <c r="C22" i="4"/>
  <c r="D22" i="4"/>
  <c r="A22" i="4"/>
  <c r="H21" i="4"/>
  <c r="B21" i="4"/>
  <c r="G21" i="4"/>
  <c r="D21" i="4"/>
  <c r="C21" i="4"/>
  <c r="A21" i="4"/>
  <c r="H20" i="4"/>
  <c r="G20" i="4"/>
  <c r="C20" i="4"/>
  <c r="D20" i="4"/>
  <c r="B20" i="4"/>
  <c r="A20" i="4"/>
  <c r="H19" i="4"/>
  <c r="G19" i="4"/>
  <c r="D19" i="4"/>
  <c r="C19" i="4"/>
  <c r="B19" i="4"/>
  <c r="A19" i="4"/>
  <c r="H18" i="4"/>
  <c r="B18" i="4"/>
  <c r="G18" i="4"/>
  <c r="C18" i="4"/>
  <c r="D18" i="4"/>
  <c r="A18" i="4"/>
  <c r="H17" i="4"/>
  <c r="B17" i="4"/>
  <c r="G17" i="4"/>
  <c r="D17" i="4"/>
  <c r="C17" i="4"/>
  <c r="A17" i="4"/>
  <c r="H16" i="4"/>
  <c r="G16" i="4"/>
  <c r="C16" i="4"/>
  <c r="D16" i="4"/>
  <c r="B16" i="4"/>
  <c r="A16" i="4"/>
  <c r="H15" i="4"/>
  <c r="G15" i="4"/>
  <c r="D15" i="4"/>
  <c r="C15" i="4"/>
  <c r="B15" i="4"/>
  <c r="A15" i="4"/>
  <c r="H14" i="4"/>
  <c r="B14" i="4"/>
  <c r="G14" i="4"/>
  <c r="C14" i="4"/>
  <c r="D14" i="4"/>
  <c r="A14" i="4"/>
  <c r="H13" i="4"/>
  <c r="B13" i="4"/>
  <c r="G13" i="4"/>
  <c r="D13" i="4"/>
  <c r="C13" i="4"/>
  <c r="A13" i="4"/>
  <c r="H12" i="4"/>
  <c r="G12" i="4"/>
  <c r="C12" i="4"/>
  <c r="D12" i="4"/>
  <c r="B12" i="4"/>
  <c r="A12" i="4"/>
  <c r="H11" i="4"/>
  <c r="G11" i="4"/>
  <c r="D11" i="4"/>
  <c r="C11" i="4"/>
  <c r="B11" i="4"/>
  <c r="A11" i="4"/>
  <c r="F11" i="1"/>
  <c r="Q37" i="1"/>
  <c r="Q38" i="1"/>
  <c r="Q35" i="1"/>
  <c r="E14" i="1"/>
  <c r="G11" i="1"/>
  <c r="Q36" i="1"/>
  <c r="E21" i="3"/>
  <c r="F21" i="3"/>
  <c r="G21" i="3"/>
  <c r="E22" i="3"/>
  <c r="F22" i="3"/>
  <c r="G22" i="3"/>
  <c r="I22" i="3"/>
  <c r="E23" i="3"/>
  <c r="F23" i="3"/>
  <c r="G23" i="3"/>
  <c r="E24" i="3"/>
  <c r="F24" i="3"/>
  <c r="G24" i="3"/>
  <c r="J24" i="3"/>
  <c r="E25" i="3"/>
  <c r="F25" i="3"/>
  <c r="G25" i="3"/>
  <c r="J25" i="3"/>
  <c r="E26" i="3"/>
  <c r="F26" i="3"/>
  <c r="G26" i="3"/>
  <c r="E27" i="3"/>
  <c r="F27" i="3"/>
  <c r="G27" i="3"/>
  <c r="J27" i="3"/>
  <c r="E15" i="3"/>
  <c r="E16" i="3" s="1"/>
  <c r="E17" i="3" s="1"/>
  <c r="C17" i="3"/>
  <c r="Q21" i="3"/>
  <c r="Q22" i="3"/>
  <c r="Q23" i="3"/>
  <c r="Q24" i="3"/>
  <c r="Q25" i="3"/>
  <c r="J26" i="3"/>
  <c r="Q26" i="3"/>
  <c r="Q27" i="3"/>
  <c r="Q29" i="1"/>
  <c r="Q30" i="1"/>
  <c r="Q31" i="1"/>
  <c r="Q32" i="1"/>
  <c r="Q33" i="1"/>
  <c r="Q34" i="1"/>
  <c r="C7" i="1"/>
  <c r="E22" i="1"/>
  <c r="F22" i="1"/>
  <c r="C8" i="1"/>
  <c r="C17" i="1"/>
  <c r="Q21" i="1"/>
  <c r="E12" i="4"/>
  <c r="E25" i="4"/>
  <c r="C11" i="3"/>
  <c r="J23" i="3"/>
  <c r="E11" i="4"/>
  <c r="E14" i="4"/>
  <c r="E13" i="4"/>
  <c r="C12" i="3"/>
  <c r="C16" i="3"/>
  <c r="D18" i="3"/>
  <c r="E23" i="4"/>
  <c r="G30" i="1"/>
  <c r="J30" i="1"/>
  <c r="E36" i="1"/>
  <c r="F36" i="1"/>
  <c r="G36" i="1"/>
  <c r="K36" i="1"/>
  <c r="E24" i="1"/>
  <c r="F24" i="1"/>
  <c r="G38" i="1"/>
  <c r="K38" i="1"/>
  <c r="E33" i="1"/>
  <c r="F33" i="1"/>
  <c r="G33" i="1"/>
  <c r="J33" i="1"/>
  <c r="E21" i="1"/>
  <c r="F21" i="1"/>
  <c r="G23" i="1"/>
  <c r="I23" i="1"/>
  <c r="E30" i="1"/>
  <c r="F30" i="1"/>
  <c r="G28" i="1"/>
  <c r="I28" i="1"/>
  <c r="E26" i="1"/>
  <c r="F26" i="1"/>
  <c r="G26" i="1"/>
  <c r="I26" i="1"/>
  <c r="E38" i="1"/>
  <c r="F38" i="1"/>
  <c r="E35" i="1"/>
  <c r="F35" i="1"/>
  <c r="G35" i="1"/>
  <c r="K35" i="1"/>
  <c r="G25" i="1"/>
  <c r="I25" i="1"/>
  <c r="E23" i="1"/>
  <c r="F23" i="1"/>
  <c r="E32" i="1"/>
  <c r="F32" i="1"/>
  <c r="G32" i="1"/>
  <c r="J32" i="1"/>
  <c r="G34" i="1"/>
  <c r="K34" i="1"/>
  <c r="E28" i="1"/>
  <c r="F28" i="1"/>
  <c r="E29" i="1"/>
  <c r="F29" i="1"/>
  <c r="G29" i="1"/>
  <c r="J29" i="1"/>
  <c r="E25" i="1"/>
  <c r="F25" i="1"/>
  <c r="G22" i="1"/>
  <c r="I22" i="1"/>
  <c r="H21" i="3"/>
  <c r="E37" i="1"/>
  <c r="F37" i="1"/>
  <c r="G37" i="1"/>
  <c r="K37" i="1"/>
  <c r="E34" i="1"/>
  <c r="F34" i="1"/>
  <c r="G24" i="1"/>
  <c r="I24" i="1"/>
  <c r="E31" i="1"/>
  <c r="F31" i="1"/>
  <c r="G31" i="1"/>
  <c r="J31" i="1"/>
  <c r="G21" i="1"/>
  <c r="E27" i="1"/>
  <c r="F27" i="1"/>
  <c r="G27" i="1"/>
  <c r="I27" i="1"/>
  <c r="E18" i="4"/>
  <c r="E15" i="4"/>
  <c r="E22" i="4"/>
  <c r="E19" i="4"/>
  <c r="H21" i="1"/>
  <c r="E16" i="4"/>
  <c r="E20" i="4"/>
  <c r="E17" i="4"/>
  <c r="E24" i="4"/>
  <c r="E21" i="4"/>
  <c r="O23" i="3"/>
  <c r="C15" i="3"/>
  <c r="O26" i="3"/>
  <c r="O21" i="3"/>
  <c r="O24" i="3"/>
  <c r="O27" i="3"/>
  <c r="O22" i="3"/>
  <c r="O25" i="3"/>
  <c r="C18" i="3"/>
  <c r="C11" i="1"/>
  <c r="C12" i="1"/>
  <c r="C16" i="1" l="1"/>
  <c r="D18" i="1" s="1"/>
  <c r="O32" i="1"/>
  <c r="O23" i="1"/>
  <c r="O22" i="1"/>
  <c r="O26" i="1"/>
  <c r="C15" i="1"/>
  <c r="O30" i="1"/>
  <c r="O31" i="1"/>
  <c r="O25" i="1"/>
  <c r="O34" i="1"/>
  <c r="O27" i="1"/>
  <c r="O28" i="1"/>
  <c r="O35" i="1"/>
  <c r="O38" i="1"/>
  <c r="O33" i="1"/>
  <c r="O21" i="1"/>
  <c r="O29" i="1"/>
  <c r="O37" i="1"/>
  <c r="O24" i="1"/>
  <c r="O36" i="1"/>
  <c r="E15" i="1"/>
  <c r="C18" i="1" l="1"/>
  <c r="E16" i="1"/>
  <c r="E17" i="1" s="1"/>
</calcChain>
</file>

<file path=xl/sharedStrings.xml><?xml version="1.0" encoding="utf-8"?>
<sst xmlns="http://schemas.openxmlformats.org/spreadsheetml/2006/main" count="261" uniqueCount="123">
  <si>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</si>
  <si>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</si>
  <si>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</si>
  <si>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</si>
  <si>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</si>
  <si>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</si>
  <si>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</si>
  <si>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</si>
  <si>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</si>
  <si>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</si>
  <si>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</si>
  <si>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</si>
  <si>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</si>
  <si>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</si>
  <si>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</si>
  <si>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</si>
  <si>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</si>
  <si>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</si>
  <si>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</si>
  <si>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</si>
  <si>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</si>
  <si>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</si>
  <si>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</si>
  <si>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</si>
  <si>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S5</t>
  </si>
  <si>
    <t>Misc</t>
  </si>
  <si>
    <t>Type of system</t>
  </si>
  <si>
    <t>BBSAG</t>
  </si>
  <si>
    <t>I</t>
  </si>
  <si>
    <t>BAV</t>
  </si>
  <si>
    <t>IBVS</t>
  </si>
  <si>
    <t>Krajci</t>
  </si>
  <si>
    <t># of data points:</t>
  </si>
  <si>
    <t>JD today</t>
  </si>
  <si>
    <t>Next ToM</t>
  </si>
  <si>
    <t>New Cycle</t>
  </si>
  <si>
    <t>My time zone &gt;&gt;&gt;&gt;&gt;</t>
  </si>
  <si>
    <t>(PST=8, PDT=MDT=7, MDT=CST=6, etc.)</t>
  </si>
  <si>
    <t>Local time</t>
  </si>
  <si>
    <t>V1182 Aql / GSC 1039-0116</t>
  </si>
  <si>
    <t>EB/KE:</t>
  </si>
  <si>
    <t>IBVS 5745</t>
  </si>
  <si>
    <t>Mayer 1998</t>
  </si>
  <si>
    <t>1998A&amp;AS..130..311M</t>
  </si>
  <si>
    <t>JAVSO..42..426</t>
  </si>
  <si>
    <t>Start of linear fit &gt;&gt;&gt;&gt;&gt;&gt;&gt;&gt;&gt;&gt;&gt;&gt;&gt;&gt;&gt;&gt;&gt;&gt;&gt;&gt;&gt;</t>
  </si>
  <si>
    <t>Add cycle</t>
  </si>
  <si>
    <t>Old Cycle</t>
  </si>
  <si>
    <t>OEJV 0168</t>
  </si>
  <si>
    <t>II</t>
  </si>
  <si>
    <t>IBVS 6153</t>
  </si>
  <si>
    <t>pg</t>
  </si>
  <si>
    <t>vis</t>
  </si>
  <si>
    <t>PE</t>
  </si>
  <si>
    <t>CCD</t>
  </si>
  <si>
    <t>s5</t>
  </si>
  <si>
    <t>s6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</si>
  <si>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</si>
  <si>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</si>
  <si>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</si>
  <si>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</si>
  <si>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</si>
  <si>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</si>
  <si>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</si>
  <si>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</si>
  <si>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2439713.352 </t>
  </si>
  <si>
    <t> 10.08.1967 20:26 </t>
  </si>
  <si>
    <t> -0.002 </t>
  </si>
  <si>
    <t>E </t>
  </si>
  <si>
    <t>?</t>
  </si>
  <si>
    <t> Burnashev&amp;Vitrich. </t>
  </si>
  <si>
    <t> PZ 17.502 </t>
  </si>
  <si>
    <t>2439726.329 </t>
  </si>
  <si>
    <t> 23.08.1967 19:53 </t>
  </si>
  <si>
    <t> -0.000 </t>
  </si>
  <si>
    <t>2440000.435 </t>
  </si>
  <si>
    <t> 23.05.1968 22:26 </t>
  </si>
  <si>
    <t> 0.007 </t>
  </si>
  <si>
    <t>2440013.409 </t>
  </si>
  <si>
    <t> 05.06.1968 21:48 </t>
  </si>
  <si>
    <t> 0.006 </t>
  </si>
  <si>
    <t>2440017.465 </t>
  </si>
  <si>
    <t> 09.06.1968 23:09 </t>
  </si>
  <si>
    <t>2440056.388 </t>
  </si>
  <si>
    <t> 18.07.1968 21:18 </t>
  </si>
  <si>
    <t> 0.005 </t>
  </si>
  <si>
    <t>2447369.473 </t>
  </si>
  <si>
    <t> 26.07.1988 23:21 </t>
  </si>
  <si>
    <t> P.Mayer et al. </t>
  </si>
  <si>
    <t> BAC 42.225 </t>
  </si>
  <si>
    <t>2448753.7520 </t>
  </si>
  <si>
    <t> 11.05.1992 06:02 </t>
  </si>
  <si>
    <t> -0.0054 </t>
  </si>
  <si>
    <t> AAPS 130.311 </t>
  </si>
  <si>
    <t>2449158.4158 </t>
  </si>
  <si>
    <t> 19.06.1993 21:58 </t>
  </si>
  <si>
    <t> -0.0026 </t>
  </si>
  <si>
    <t>2449518.4752 </t>
  </si>
  <si>
    <t> 14.06.1994 23:24 </t>
  </si>
  <si>
    <t> -0.0024 </t>
  </si>
  <si>
    <t>2449540.3678 </t>
  </si>
  <si>
    <t> 06.07.1994 20:49 </t>
  </si>
  <si>
    <t> -0.0052 </t>
  </si>
  <si>
    <t>2449600.3831 </t>
  </si>
  <si>
    <t> 04.09.1994 21:11 </t>
  </si>
  <si>
    <t> 0.0002 </t>
  </si>
  <si>
    <t>2453210.7055 </t>
  </si>
  <si>
    <t> 24.07.2004 04:55 </t>
  </si>
  <si>
    <t> 0.0000 </t>
  </si>
  <si>
    <t> Smith &amp; Caton </t>
  </si>
  <si>
    <t>IBVS 5745 </t>
  </si>
  <si>
    <t>2453272.3302 </t>
  </si>
  <si>
    <t> 23.09.2004 19:55 </t>
  </si>
  <si>
    <t> -0.0070 </t>
  </si>
  <si>
    <t>C </t>
  </si>
  <si>
    <t> M.Petropoulou et al. </t>
  </si>
  <si>
    <t>IBVS 6153 </t>
  </si>
  <si>
    <t>2456480.4593 </t>
  </si>
  <si>
    <t> 06.07.2013 23:01 </t>
  </si>
  <si>
    <t> 0.0277 </t>
  </si>
  <si>
    <t> L.Corp </t>
  </si>
  <si>
    <t> JAAVSO 42;426 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</si>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</sst>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name val="Arial Unicode MS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9"/>
      <color indexed="12"/>
      <name val="CourierNewPSMT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1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quotePrefix="1" applyFont="1" applyAlignment="1"/>
    <xf numFmtId="0" fontId="9" fillId="0" borderId="0" xfId="0" applyFont="1" applyAlignment="1"/>
    <xf numFmtId="2" fontId="0" fillId="0" borderId="0" xfId="0" applyNumberFormat="1" applyAlignment="1"/>
    <xf numFmtId="172" fontId="0" fillId="0" borderId="0" xfId="0" applyNumberForma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NumberFormat="1" applyFont="1" applyAlignment="1">
      <alignment horizontal="left"/>
    </xf>
    <xf numFmtId="0" fontId="10" fillId="0" borderId="0" xfId="0" applyFont="1">
      <alignment vertical="top"/>
    </xf>
    <xf numFmtId="0" fontId="0" fillId="0" borderId="0" xfId="0" applyAlignment="1">
      <alignment horizontal="left"/>
    </xf>
    <xf numFmtId="172" fontId="10" fillId="0" borderId="0" xfId="0" applyNumberFormat="1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12" fillId="0" borderId="0" xfId="0" applyFont="1" applyAlignment="1"/>
    <xf numFmtId="0" fontId="13" fillId="0" borderId="0" xfId="0" applyFont="1" applyAlignment="1"/>
    <xf numFmtId="0" fontId="11" fillId="0" borderId="0" xfId="0" applyFont="1" applyAlignment="1"/>
    <xf numFmtId="22" fontId="10" fillId="0" borderId="0" xfId="0" applyNumberFormat="1" applyFont="1" applyAlignment="1"/>
    <xf numFmtId="0" fontId="14" fillId="0" borderId="0" xfId="0" applyFont="1" applyAlignment="1"/>
    <xf numFmtId="0" fontId="10" fillId="0" borderId="0" xfId="0" applyFont="1" applyAlignment="1">
      <alignment horizontal="right"/>
    </xf>
    <xf numFmtId="0" fontId="15" fillId="0" borderId="0" xfId="0" applyFont="1" applyAlignment="1"/>
    <xf numFmtId="0" fontId="15" fillId="0" borderId="5" xfId="0" applyFont="1" applyBorder="1" applyAlignment="1"/>
    <xf numFmtId="0" fontId="15" fillId="0" borderId="6" xfId="0" applyFont="1" applyBorder="1" applyAlignment="1"/>
    <xf numFmtId="0" fontId="5" fillId="0" borderId="0" xfId="0" applyFont="1">
      <alignment vertical="top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3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23" fillId="2" borderId="13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V1182 Aql - O-C Diagr.</a:t>
            </a:r>
          </a:p>
        </c:rich>
      </c:tx>
      <c:layout>
        <c:manualLayout>
          <c:xMode val="edge"/>
          <c:yMode val="edge"/>
          <c:x val="0.3383462593491602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7458273483641"/>
          <c:y val="0.14906854902912253"/>
          <c:w val="0.78195560491402294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38</c:v>
                </c:pt>
                <c:pt idx="2">
                  <c:v>46</c:v>
                </c:pt>
                <c:pt idx="3">
                  <c:v>215</c:v>
                </c:pt>
                <c:pt idx="4">
                  <c:v>223</c:v>
                </c:pt>
                <c:pt idx="5">
                  <c:v>225.5</c:v>
                </c:pt>
                <c:pt idx="6">
                  <c:v>249.5</c:v>
                </c:pt>
                <c:pt idx="7">
                  <c:v>4758.5</c:v>
                </c:pt>
                <c:pt idx="8">
                  <c:v>5612</c:v>
                </c:pt>
                <c:pt idx="9">
                  <c:v>5861.5</c:v>
                </c:pt>
                <c:pt idx="10">
                  <c:v>6083.5</c:v>
                </c:pt>
                <c:pt idx="11">
                  <c:v>6097</c:v>
                </c:pt>
                <c:pt idx="12">
                  <c:v>6134</c:v>
                </c:pt>
                <c:pt idx="13">
                  <c:v>8360</c:v>
                </c:pt>
                <c:pt idx="14">
                  <c:v>8398</c:v>
                </c:pt>
                <c:pt idx="15">
                  <c:v>10376</c:v>
                </c:pt>
                <c:pt idx="16">
                  <c:v>10606</c:v>
                </c:pt>
                <c:pt idx="17">
                  <c:v>10608.5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43-4957-82F5-186276C879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3.7000000000000002E-3</c:v>
                  </c:pt>
                  <c:pt idx="17">
                    <c:v>3.5999999999999999E-3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3.7000000000000002E-3</c:v>
                  </c:pt>
                  <c:pt idx="1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38</c:v>
                </c:pt>
                <c:pt idx="2">
                  <c:v>46</c:v>
                </c:pt>
                <c:pt idx="3">
                  <c:v>215</c:v>
                </c:pt>
                <c:pt idx="4">
                  <c:v>223</c:v>
                </c:pt>
                <c:pt idx="5">
                  <c:v>225.5</c:v>
                </c:pt>
                <c:pt idx="6">
                  <c:v>249.5</c:v>
                </c:pt>
                <c:pt idx="7">
                  <c:v>4758.5</c:v>
                </c:pt>
                <c:pt idx="8">
                  <c:v>5612</c:v>
                </c:pt>
                <c:pt idx="9">
                  <c:v>5861.5</c:v>
                </c:pt>
                <c:pt idx="10">
                  <c:v>6083.5</c:v>
                </c:pt>
                <c:pt idx="11">
                  <c:v>6097</c:v>
                </c:pt>
                <c:pt idx="12">
                  <c:v>6134</c:v>
                </c:pt>
                <c:pt idx="13">
                  <c:v>8360</c:v>
                </c:pt>
                <c:pt idx="14">
                  <c:v>8398</c:v>
                </c:pt>
                <c:pt idx="15">
                  <c:v>10376</c:v>
                </c:pt>
                <c:pt idx="16">
                  <c:v>10606</c:v>
                </c:pt>
                <c:pt idx="17">
                  <c:v>10608.5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-1.1120000053779222E-3</c:v>
                </c:pt>
                <c:pt idx="2">
                  <c:v>4.9599999329075217E-4</c:v>
                </c:pt>
                <c:pt idx="3">
                  <c:v>1.3399999952525832E-3</c:v>
                </c:pt>
                <c:pt idx="4">
                  <c:v>-5.2000003051944077E-5</c:v>
                </c:pt>
                <c:pt idx="5">
                  <c:v>1.137999992351979E-3</c:v>
                </c:pt>
                <c:pt idx="6">
                  <c:v>-2.0379999987198971E-3</c:v>
                </c:pt>
                <c:pt idx="7">
                  <c:v>-0.17235400000208756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43-4957-82F5-186276C879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3.7000000000000002E-3</c:v>
                  </c:pt>
                  <c:pt idx="17">
                    <c:v>3.5999999999999999E-3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3.7000000000000002E-3</c:v>
                  </c:pt>
                  <c:pt idx="1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38</c:v>
                </c:pt>
                <c:pt idx="2">
                  <c:v>46</c:v>
                </c:pt>
                <c:pt idx="3">
                  <c:v>215</c:v>
                </c:pt>
                <c:pt idx="4">
                  <c:v>223</c:v>
                </c:pt>
                <c:pt idx="5">
                  <c:v>225.5</c:v>
                </c:pt>
                <c:pt idx="6">
                  <c:v>249.5</c:v>
                </c:pt>
                <c:pt idx="7">
                  <c:v>4758.5</c:v>
                </c:pt>
                <c:pt idx="8">
                  <c:v>5612</c:v>
                </c:pt>
                <c:pt idx="9">
                  <c:v>5861.5</c:v>
                </c:pt>
                <c:pt idx="10">
                  <c:v>6083.5</c:v>
                </c:pt>
                <c:pt idx="11">
                  <c:v>6097</c:v>
                </c:pt>
                <c:pt idx="12">
                  <c:v>6134</c:v>
                </c:pt>
                <c:pt idx="13">
                  <c:v>8360</c:v>
                </c:pt>
                <c:pt idx="14">
                  <c:v>8398</c:v>
                </c:pt>
                <c:pt idx="15">
                  <c:v>10376</c:v>
                </c:pt>
                <c:pt idx="16">
                  <c:v>10606</c:v>
                </c:pt>
                <c:pt idx="17">
                  <c:v>10608.5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8">
                  <c:v>-0.20548799999960465</c:v>
                </c:pt>
                <c:pt idx="9">
                  <c:v>-0.21172599999408703</c:v>
                </c:pt>
                <c:pt idx="10">
                  <c:v>-0.21945399999822257</c:v>
                </c:pt>
                <c:pt idx="11">
                  <c:v>-0.22282799999811687</c:v>
                </c:pt>
                <c:pt idx="12">
                  <c:v>-0.2187160000030417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43-4957-82F5-186276C879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3.7000000000000002E-3</c:v>
                  </c:pt>
                  <c:pt idx="17">
                    <c:v>3.5999999999999999E-3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3.7000000000000002E-3</c:v>
                  </c:pt>
                  <c:pt idx="1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38</c:v>
                </c:pt>
                <c:pt idx="2">
                  <c:v>46</c:v>
                </c:pt>
                <c:pt idx="3">
                  <c:v>215</c:v>
                </c:pt>
                <c:pt idx="4">
                  <c:v>223</c:v>
                </c:pt>
                <c:pt idx="5">
                  <c:v>225.5</c:v>
                </c:pt>
                <c:pt idx="6">
                  <c:v>249.5</c:v>
                </c:pt>
                <c:pt idx="7">
                  <c:v>4758.5</c:v>
                </c:pt>
                <c:pt idx="8">
                  <c:v>5612</c:v>
                </c:pt>
                <c:pt idx="9">
                  <c:v>5861.5</c:v>
                </c:pt>
                <c:pt idx="10">
                  <c:v>6083.5</c:v>
                </c:pt>
                <c:pt idx="11">
                  <c:v>6097</c:v>
                </c:pt>
                <c:pt idx="12">
                  <c:v>6134</c:v>
                </c:pt>
                <c:pt idx="13">
                  <c:v>8360</c:v>
                </c:pt>
                <c:pt idx="14">
                  <c:v>8398</c:v>
                </c:pt>
                <c:pt idx="15">
                  <c:v>10376</c:v>
                </c:pt>
                <c:pt idx="16">
                  <c:v>10606</c:v>
                </c:pt>
                <c:pt idx="17">
                  <c:v>10608.5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3">
                  <c:v>-0.29914000000280794</c:v>
                </c:pt>
                <c:pt idx="14">
                  <c:v>-0.30755200000567129</c:v>
                </c:pt>
                <c:pt idx="15">
                  <c:v>-0.34412399999564514</c:v>
                </c:pt>
                <c:pt idx="16">
                  <c:v>-0.3569740000020829</c:v>
                </c:pt>
                <c:pt idx="17">
                  <c:v>-0.36541399999987334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43-4957-82F5-186276C879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3.7000000000000002E-3</c:v>
                  </c:pt>
                  <c:pt idx="17">
                    <c:v>3.5999999999999999E-3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3.7000000000000002E-3</c:v>
                  </c:pt>
                  <c:pt idx="1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38</c:v>
                </c:pt>
                <c:pt idx="2">
                  <c:v>46</c:v>
                </c:pt>
                <c:pt idx="3">
                  <c:v>215</c:v>
                </c:pt>
                <c:pt idx="4">
                  <c:v>223</c:v>
                </c:pt>
                <c:pt idx="5">
                  <c:v>225.5</c:v>
                </c:pt>
                <c:pt idx="6">
                  <c:v>249.5</c:v>
                </c:pt>
                <c:pt idx="7">
                  <c:v>4758.5</c:v>
                </c:pt>
                <c:pt idx="8">
                  <c:v>5612</c:v>
                </c:pt>
                <c:pt idx="9">
                  <c:v>5861.5</c:v>
                </c:pt>
                <c:pt idx="10">
                  <c:v>6083.5</c:v>
                </c:pt>
                <c:pt idx="11">
                  <c:v>6097</c:v>
                </c:pt>
                <c:pt idx="12">
                  <c:v>6134</c:v>
                </c:pt>
                <c:pt idx="13">
                  <c:v>8360</c:v>
                </c:pt>
                <c:pt idx="14">
                  <c:v>8398</c:v>
                </c:pt>
                <c:pt idx="15">
                  <c:v>10376</c:v>
                </c:pt>
                <c:pt idx="16">
                  <c:v>10606</c:v>
                </c:pt>
                <c:pt idx="17">
                  <c:v>10608.5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43-4957-82F5-186276C879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3.7000000000000002E-3</c:v>
                  </c:pt>
                  <c:pt idx="17">
                    <c:v>3.5999999999999999E-3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3.7000000000000002E-3</c:v>
                  </c:pt>
                  <c:pt idx="1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38</c:v>
                </c:pt>
                <c:pt idx="2">
                  <c:v>46</c:v>
                </c:pt>
                <c:pt idx="3">
                  <c:v>215</c:v>
                </c:pt>
                <c:pt idx="4">
                  <c:v>223</c:v>
                </c:pt>
                <c:pt idx="5">
                  <c:v>225.5</c:v>
                </c:pt>
                <c:pt idx="6">
                  <c:v>249.5</c:v>
                </c:pt>
                <c:pt idx="7">
                  <c:v>4758.5</c:v>
                </c:pt>
                <c:pt idx="8">
                  <c:v>5612</c:v>
                </c:pt>
                <c:pt idx="9">
                  <c:v>5861.5</c:v>
                </c:pt>
                <c:pt idx="10">
                  <c:v>6083.5</c:v>
                </c:pt>
                <c:pt idx="11">
                  <c:v>6097</c:v>
                </c:pt>
                <c:pt idx="12">
                  <c:v>6134</c:v>
                </c:pt>
                <c:pt idx="13">
                  <c:v>8360</c:v>
                </c:pt>
                <c:pt idx="14">
                  <c:v>8398</c:v>
                </c:pt>
                <c:pt idx="15">
                  <c:v>10376</c:v>
                </c:pt>
                <c:pt idx="16">
                  <c:v>10606</c:v>
                </c:pt>
                <c:pt idx="17">
                  <c:v>10608.5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43-4957-82F5-186276C879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3.7000000000000002E-3</c:v>
                  </c:pt>
                  <c:pt idx="17">
                    <c:v>3.5999999999999999E-3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3.7000000000000002E-3</c:v>
                  </c:pt>
                  <c:pt idx="1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38</c:v>
                </c:pt>
                <c:pt idx="2">
                  <c:v>46</c:v>
                </c:pt>
                <c:pt idx="3">
                  <c:v>215</c:v>
                </c:pt>
                <c:pt idx="4">
                  <c:v>223</c:v>
                </c:pt>
                <c:pt idx="5">
                  <c:v>225.5</c:v>
                </c:pt>
                <c:pt idx="6">
                  <c:v>249.5</c:v>
                </c:pt>
                <c:pt idx="7">
                  <c:v>4758.5</c:v>
                </c:pt>
                <c:pt idx="8">
                  <c:v>5612</c:v>
                </c:pt>
                <c:pt idx="9">
                  <c:v>5861.5</c:v>
                </c:pt>
                <c:pt idx="10">
                  <c:v>6083.5</c:v>
                </c:pt>
                <c:pt idx="11">
                  <c:v>6097</c:v>
                </c:pt>
                <c:pt idx="12">
                  <c:v>6134</c:v>
                </c:pt>
                <c:pt idx="13">
                  <c:v>8360</c:v>
                </c:pt>
                <c:pt idx="14">
                  <c:v>8398</c:v>
                </c:pt>
                <c:pt idx="15">
                  <c:v>10376</c:v>
                </c:pt>
                <c:pt idx="16">
                  <c:v>10606</c:v>
                </c:pt>
                <c:pt idx="17">
                  <c:v>10608.5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43-4957-82F5-186276C879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38</c:v>
                </c:pt>
                <c:pt idx="2">
                  <c:v>46</c:v>
                </c:pt>
                <c:pt idx="3">
                  <c:v>215</c:v>
                </c:pt>
                <c:pt idx="4">
                  <c:v>223</c:v>
                </c:pt>
                <c:pt idx="5">
                  <c:v>225.5</c:v>
                </c:pt>
                <c:pt idx="6">
                  <c:v>249.5</c:v>
                </c:pt>
                <c:pt idx="7">
                  <c:v>4758.5</c:v>
                </c:pt>
                <c:pt idx="8">
                  <c:v>5612</c:v>
                </c:pt>
                <c:pt idx="9">
                  <c:v>5861.5</c:v>
                </c:pt>
                <c:pt idx="10">
                  <c:v>6083.5</c:v>
                </c:pt>
                <c:pt idx="11">
                  <c:v>6097</c:v>
                </c:pt>
                <c:pt idx="12">
                  <c:v>6134</c:v>
                </c:pt>
                <c:pt idx="13">
                  <c:v>8360</c:v>
                </c:pt>
                <c:pt idx="14">
                  <c:v>8398</c:v>
                </c:pt>
                <c:pt idx="15">
                  <c:v>10376</c:v>
                </c:pt>
                <c:pt idx="16">
                  <c:v>10606</c:v>
                </c:pt>
                <c:pt idx="17">
                  <c:v>10608.5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1.4484696649485207E-3</c:v>
                </c:pt>
                <c:pt idx="1">
                  <c:v>1.1219591713145091E-4</c:v>
                </c:pt>
                <c:pt idx="2">
                  <c:v>-1.6912487188266902E-4</c:v>
                </c:pt>
                <c:pt idx="3">
                  <c:v>-6.1120265398059521E-3</c:v>
                </c:pt>
                <c:pt idx="4">
                  <c:v>-6.3933473288200725E-3</c:v>
                </c:pt>
                <c:pt idx="5">
                  <c:v>-6.4812600753869857E-3</c:v>
                </c:pt>
                <c:pt idx="6">
                  <c:v>-7.3252224424293442E-3</c:v>
                </c:pt>
                <c:pt idx="7">
                  <c:v>-0.16588465215051268</c:v>
                </c:pt>
                <c:pt idx="8">
                  <c:v>-0.19589806382845662</c:v>
                </c:pt>
                <c:pt idx="9">
                  <c:v>-0.20467175593583448</c:v>
                </c:pt>
                <c:pt idx="10">
                  <c:v>-0.2124784078309763</c:v>
                </c:pt>
                <c:pt idx="11">
                  <c:v>-0.21295313666243762</c:v>
                </c:pt>
                <c:pt idx="12">
                  <c:v>-0.21425424531162793</c:v>
                </c:pt>
                <c:pt idx="13">
                  <c:v>-0.29253175485480676</c:v>
                </c:pt>
                <c:pt idx="14">
                  <c:v>-0.29386802860262384</c:v>
                </c:pt>
                <c:pt idx="15">
                  <c:v>-0.36342459368636504</c:v>
                </c:pt>
                <c:pt idx="16">
                  <c:v>-0.37151256637052099</c:v>
                </c:pt>
                <c:pt idx="17">
                  <c:v>-0.37160047911708793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43-4957-82F5-186276C87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833560"/>
        <c:axId val="1"/>
      </c:scatterChart>
      <c:valAx>
        <c:axId val="684833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3648491307004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83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17312967458015"/>
          <c:y val="0.91925596256989606"/>
          <c:w val="0.76315868411185428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V1182 Aql - O-C Diagr.</a:t>
            </a:r>
          </a:p>
        </c:rich>
      </c:tx>
      <c:layout>
        <c:manualLayout>
          <c:xMode val="edge"/>
          <c:yMode val="edge"/>
          <c:x val="0.3383462593491602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05278857494252"/>
          <c:y val="0.14906854902912253"/>
          <c:w val="0.77255710004726785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B!$F$21:$F$992</c:f>
              <c:numCache>
                <c:formatCode>General</c:formatCode>
                <c:ptCount val="972"/>
                <c:pt idx="0">
                  <c:v>-8360</c:v>
                </c:pt>
                <c:pt idx="1">
                  <c:v>0</c:v>
                </c:pt>
                <c:pt idx="2">
                  <c:v>-2748</c:v>
                </c:pt>
                <c:pt idx="3">
                  <c:v>-2498.5</c:v>
                </c:pt>
                <c:pt idx="4">
                  <c:v>-2276.5</c:v>
                </c:pt>
                <c:pt idx="5">
                  <c:v>-2263</c:v>
                </c:pt>
                <c:pt idx="6">
                  <c:v>-2226</c:v>
                </c:pt>
              </c:numCache>
            </c:numRef>
          </c:xVal>
          <c:yVal>
            <c:numRef>
              <c:f>B!$H$21:$H$992</c:f>
              <c:numCache>
                <c:formatCode>General</c:formatCode>
                <c:ptCount val="972"/>
                <c:pt idx="0">
                  <c:v>1.0478783660801128E-3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F5-47E6-9444-9CFE0FA3FAD8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1">
                    <c:v>6.9999999999999999E-4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6.9999999999999999E-4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1">
                    <c:v>6.9999999999999999E-4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6.9999999999999999E-4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-8360</c:v>
                </c:pt>
                <c:pt idx="1">
                  <c:v>0</c:v>
                </c:pt>
                <c:pt idx="2">
                  <c:v>-2748</c:v>
                </c:pt>
                <c:pt idx="3">
                  <c:v>-2498.5</c:v>
                </c:pt>
                <c:pt idx="4">
                  <c:v>-2276.5</c:v>
                </c:pt>
                <c:pt idx="5">
                  <c:v>-2263</c:v>
                </c:pt>
                <c:pt idx="6">
                  <c:v>-2226</c:v>
                </c:pt>
              </c:numCache>
            </c:numRef>
          </c:xVal>
          <c:yVal>
            <c:numRef>
              <c:f>B!$I$21:$I$992</c:f>
              <c:numCache>
                <c:formatCode>General</c:formatCode>
                <c:ptCount val="972"/>
                <c:pt idx="1">
                  <c:v>2.1422518038889393E-3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F5-47E6-9444-9CFE0FA3FAD8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1">
                    <c:v>6.9999999999999999E-4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6.9999999999999999E-4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1">
                    <c:v>6.9999999999999999E-4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6.9999999999999999E-4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-8360</c:v>
                </c:pt>
                <c:pt idx="1">
                  <c:v>0</c:v>
                </c:pt>
                <c:pt idx="2">
                  <c:v>-2748</c:v>
                </c:pt>
                <c:pt idx="3">
                  <c:v>-2498.5</c:v>
                </c:pt>
                <c:pt idx="4">
                  <c:v>-2276.5</c:v>
                </c:pt>
                <c:pt idx="5">
                  <c:v>-2263</c:v>
                </c:pt>
                <c:pt idx="6">
                  <c:v>-2226</c:v>
                </c:pt>
              </c:numCache>
            </c:numRef>
          </c:xVal>
          <c:yVal>
            <c:numRef>
              <c:f>B!$J$21:$J$992</c:f>
              <c:numCache>
                <c:formatCode>General</c:formatCode>
                <c:ptCount val="972"/>
                <c:pt idx="2">
                  <c:v>-2.8952288412256166E-3</c:v>
                </c:pt>
                <c:pt idx="3">
                  <c:v>-1.7288480012211949E-4</c:v>
                </c:pt>
                <c:pt idx="4">
                  <c:v>7.18461669748649E-5</c:v>
                </c:pt>
                <c:pt idx="5">
                  <c:v>-2.8173255996080115E-3</c:v>
                </c:pt>
                <c:pt idx="6">
                  <c:v>2.6234628967358731E-3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F5-47E6-9444-9CFE0FA3FAD8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1">
                    <c:v>6.9999999999999999E-4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6.9999999999999999E-4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1">
                    <c:v>6.9999999999999999E-4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6.9999999999999999E-4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-8360</c:v>
                </c:pt>
                <c:pt idx="1">
                  <c:v>0</c:v>
                </c:pt>
                <c:pt idx="2">
                  <c:v>-2748</c:v>
                </c:pt>
                <c:pt idx="3">
                  <c:v>-2498.5</c:v>
                </c:pt>
                <c:pt idx="4">
                  <c:v>-2276.5</c:v>
                </c:pt>
                <c:pt idx="5">
                  <c:v>-2263</c:v>
                </c:pt>
                <c:pt idx="6">
                  <c:v>-2226</c:v>
                </c:pt>
              </c:numCache>
            </c:numRef>
          </c:xVal>
          <c:yVal>
            <c:numRef>
              <c:f>B!$K$21:$K$992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F5-47E6-9444-9CFE0FA3FAD8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1">
                    <c:v>6.9999999999999999E-4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6.9999999999999999E-4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1">
                    <c:v>6.9999999999999999E-4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6.9999999999999999E-4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-8360</c:v>
                </c:pt>
                <c:pt idx="1">
                  <c:v>0</c:v>
                </c:pt>
                <c:pt idx="2">
                  <c:v>-2748</c:v>
                </c:pt>
                <c:pt idx="3">
                  <c:v>-2498.5</c:v>
                </c:pt>
                <c:pt idx="4">
                  <c:v>-2276.5</c:v>
                </c:pt>
                <c:pt idx="5">
                  <c:v>-2263</c:v>
                </c:pt>
                <c:pt idx="6">
                  <c:v>-2226</c:v>
                </c:pt>
              </c:numCache>
            </c:numRef>
          </c:xVal>
          <c:yVal>
            <c:numRef>
              <c:f>B!$L$21:$L$992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F5-47E6-9444-9CFE0FA3FAD8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1">
                    <c:v>6.9999999999999999E-4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6.9999999999999999E-4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1">
                    <c:v>6.9999999999999999E-4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6.9999999999999999E-4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-8360</c:v>
                </c:pt>
                <c:pt idx="1">
                  <c:v>0</c:v>
                </c:pt>
                <c:pt idx="2">
                  <c:v>-2748</c:v>
                </c:pt>
                <c:pt idx="3">
                  <c:v>-2498.5</c:v>
                </c:pt>
                <c:pt idx="4">
                  <c:v>-2276.5</c:v>
                </c:pt>
                <c:pt idx="5">
                  <c:v>-2263</c:v>
                </c:pt>
                <c:pt idx="6">
                  <c:v>-2226</c:v>
                </c:pt>
              </c:numCache>
            </c:numRef>
          </c:xVal>
          <c:yVal>
            <c:numRef>
              <c:f>B!$M$21:$M$992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F5-47E6-9444-9CFE0FA3FAD8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1">
                    <c:v>6.9999999999999999E-4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6.9999999999999999E-4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1">
                    <c:v>6.9999999999999999E-4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5">
                    <c:v>6.9999999999999999E-4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-8360</c:v>
                </c:pt>
                <c:pt idx="1">
                  <c:v>0</c:v>
                </c:pt>
                <c:pt idx="2">
                  <c:v>-2748</c:v>
                </c:pt>
                <c:pt idx="3">
                  <c:v>-2498.5</c:v>
                </c:pt>
                <c:pt idx="4">
                  <c:v>-2276.5</c:v>
                </c:pt>
                <c:pt idx="5">
                  <c:v>-2263</c:v>
                </c:pt>
                <c:pt idx="6">
                  <c:v>-2226</c:v>
                </c:pt>
              </c:numCache>
            </c:numRef>
          </c:xVal>
          <c:yVal>
            <c:numRef>
              <c:f>B!$N$21:$N$992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F5-47E6-9444-9CFE0FA3FAD8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B!$F$21:$F$992</c:f>
              <c:numCache>
                <c:formatCode>General</c:formatCode>
                <c:ptCount val="972"/>
                <c:pt idx="0">
                  <c:v>-8360</c:v>
                </c:pt>
                <c:pt idx="1">
                  <c:v>0</c:v>
                </c:pt>
                <c:pt idx="2">
                  <c:v>-2748</c:v>
                </c:pt>
                <c:pt idx="3">
                  <c:v>-2498.5</c:v>
                </c:pt>
                <c:pt idx="4">
                  <c:v>-2276.5</c:v>
                </c:pt>
                <c:pt idx="5">
                  <c:v>-2263</c:v>
                </c:pt>
                <c:pt idx="6">
                  <c:v>-2226</c:v>
                </c:pt>
              </c:numCache>
            </c:numRef>
          </c:xVal>
          <c:yVal>
            <c:numRef>
              <c:f>B!$O$21:$O$992</c:f>
              <c:numCache>
                <c:formatCode>General</c:formatCode>
                <c:ptCount val="972"/>
                <c:pt idx="0">
                  <c:v>8.0804782702019996E-14</c:v>
                </c:pt>
                <c:pt idx="1">
                  <c:v>-1.6376523195915641E-12</c:v>
                </c:pt>
                <c:pt idx="2">
                  <c:v>-1.0727814921869268E-12</c:v>
                </c:pt>
                <c:pt idx="3">
                  <c:v>-1.124067981065186E-12</c:v>
                </c:pt>
                <c:pt idx="4">
                  <c:v>-1.1697016505280061E-12</c:v>
                </c:pt>
                <c:pt idx="5">
                  <c:v>-1.1724766709683128E-12</c:v>
                </c:pt>
                <c:pt idx="6">
                  <c:v>-1.1800822825454495E-12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F5-47E6-9444-9CFE0FA3F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836800"/>
        <c:axId val="1"/>
      </c:scatterChart>
      <c:valAx>
        <c:axId val="684836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755826574309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836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0150375939849621E-2"/>
          <c:y val="0.91925596256989606"/>
          <c:w val="0.9924819923825311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17</xdr:col>
      <xdr:colOff>38100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B5AADA-A44D-859A-3ACF-AE367B47D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13</xdr:col>
      <xdr:colOff>485775</xdr:colOff>
      <xdr:row>18</xdr:row>
      <xdr:rowOff>28575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AA5CF2E5-0788-9FAA-8B4E-2EA84FD71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153" TargetMode="External"/><Relationship Id="rId2" Type="http://schemas.openxmlformats.org/officeDocument/2006/relationships/hyperlink" Target="http://www.konkoly.hu/cgi-bin/IBVS?5745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53"/>
  <sheetViews>
    <sheetView tabSelected="1" workbookViewId="0">
      <selection activeCell="K42" sqref="K4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39</v>
      </c>
      <c r="D1" s="11"/>
    </row>
    <row r="2" spans="1:7">
      <c r="A2" t="s">
        <v>26</v>
      </c>
      <c r="B2" s="32" t="s">
        <v>40</v>
      </c>
      <c r="C2" s="6"/>
      <c r="D2" s="6"/>
    </row>
    <row r="3" spans="1:7" ht="13.5" thickBot="1"/>
    <row r="4" spans="1:7" ht="13.5" thickBot="1">
      <c r="A4" s="8" t="s">
        <v>0</v>
      </c>
      <c r="C4" s="33">
        <v>39651.72</v>
      </c>
      <c r="D4" s="34">
        <v>1.6219239999999999</v>
      </c>
    </row>
    <row r="6" spans="1:7">
      <c r="A6" s="8" t="s">
        <v>1</v>
      </c>
    </row>
    <row r="7" spans="1:7">
      <c r="A7" t="s">
        <v>2</v>
      </c>
      <c r="C7">
        <f>C4</f>
        <v>39651.72</v>
      </c>
    </row>
    <row r="8" spans="1:7">
      <c r="A8" t="s">
        <v>3</v>
      </c>
      <c r="C8">
        <f>D4</f>
        <v>1.6219239999999999</v>
      </c>
    </row>
    <row r="9" spans="1:7">
      <c r="A9" s="30" t="s">
        <v>36</v>
      </c>
      <c r="C9" s="27">
        <v>-9.5</v>
      </c>
      <c r="D9" t="s">
        <v>37</v>
      </c>
    </row>
    <row r="10" spans="1:7" ht="13.5" thickBot="1">
      <c r="C10" s="7" t="s">
        <v>20</v>
      </c>
      <c r="D10" s="7" t="s">
        <v>21</v>
      </c>
    </row>
    <row r="11" spans="1:7">
      <c r="A11" t="s">
        <v>16</v>
      </c>
      <c r="C11" s="19">
        <f ca="1">INTERCEPT(INDIRECT($G$11):G992,INDIRECT($F$11):F992)</f>
        <v>1.4484696649485207E-3</v>
      </c>
      <c r="D11" s="6"/>
      <c r="F11" s="41" t="str">
        <f>"F"&amp;E19</f>
        <v>F21</v>
      </c>
      <c r="G11" s="42" t="str">
        <f>"G"&amp;E19</f>
        <v>G21</v>
      </c>
    </row>
    <row r="12" spans="1:7">
      <c r="A12" t="s">
        <v>17</v>
      </c>
      <c r="C12" s="19">
        <f ca="1">SLOPE(INDIRECT($G$11):G992,INDIRECT($F$11):F992)</f>
        <v>-3.5165098626764992E-5</v>
      </c>
      <c r="D12" s="6"/>
    </row>
    <row r="13" spans="1:7">
      <c r="A13" t="s">
        <v>19</v>
      </c>
      <c r="C13" s="6" t="s">
        <v>14</v>
      </c>
      <c r="D13" s="43" t="s">
        <v>46</v>
      </c>
      <c r="E13" s="44">
        <v>1</v>
      </c>
    </row>
    <row r="14" spans="1:7">
      <c r="D14" s="43" t="s">
        <v>33</v>
      </c>
      <c r="E14" s="45">
        <f ca="1">NOW()+15018.5+$C$9/24</f>
        <v>60320.733969907407</v>
      </c>
    </row>
    <row r="15" spans="1:7">
      <c r="A15" s="3" t="s">
        <v>18</v>
      </c>
      <c r="C15" s="22">
        <f ca="1">(C7+C11)+(C8+C12)*INT(MAX(F21:F3533))</f>
        <v>56856.718209103434</v>
      </c>
      <c r="D15" s="43" t="s">
        <v>47</v>
      </c>
      <c r="E15" s="45">
        <f ca="1">ROUND(2*(E14-$C$7)/$C$8,0)/2+E13</f>
        <v>12744.5</v>
      </c>
    </row>
    <row r="16" spans="1:7">
      <c r="A16" s="8" t="s">
        <v>4</v>
      </c>
      <c r="C16" s="23">
        <f ca="1">+C8+C12</f>
        <v>1.6218888349013731</v>
      </c>
      <c r="D16" s="43" t="s">
        <v>35</v>
      </c>
      <c r="E16" s="42">
        <f ca="1">ROUND(2*(E14-$C$15)/$C$16,0)/2+E13</f>
        <v>2137</v>
      </c>
    </row>
    <row r="17" spans="1:18" ht="13.5" thickBot="1">
      <c r="A17" s="26" t="s">
        <v>32</v>
      </c>
      <c r="C17">
        <f>COUNT(C21:C2191)</f>
        <v>18</v>
      </c>
      <c r="D17" s="43" t="s">
        <v>34</v>
      </c>
      <c r="E17" s="46">
        <f ca="1">+$C$15+$C$16*E16-15018.5-$C$9/24</f>
        <v>45304.590482621003</v>
      </c>
    </row>
    <row r="18" spans="1:18">
      <c r="A18" s="8" t="s">
        <v>5</v>
      </c>
      <c r="C18" s="4">
        <f ca="1">+C15</f>
        <v>56856.718209103434</v>
      </c>
      <c r="D18" s="5">
        <f ca="1">+C16</f>
        <v>1.6218888349013731</v>
      </c>
      <c r="E18" s="31" t="s">
        <v>38</v>
      </c>
    </row>
    <row r="19" spans="1:18" ht="13.5" thickTop="1">
      <c r="A19" s="39" t="s">
        <v>45</v>
      </c>
      <c r="E19" s="40">
        <v>21</v>
      </c>
    </row>
    <row r="20" spans="1:18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51</v>
      </c>
      <c r="I20" s="10" t="s">
        <v>52</v>
      </c>
      <c r="J20" s="10" t="s">
        <v>53</v>
      </c>
      <c r="K20" s="10" t="s">
        <v>54</v>
      </c>
      <c r="L20" s="10" t="s">
        <v>55</v>
      </c>
      <c r="M20" s="10" t="s">
        <v>56</v>
      </c>
      <c r="N20" s="10" t="s">
        <v>122</v>
      </c>
      <c r="O20" s="10" t="s">
        <v>23</v>
      </c>
      <c r="P20" s="9" t="s">
        <v>22</v>
      </c>
      <c r="Q20" s="7" t="s">
        <v>15</v>
      </c>
    </row>
    <row r="21" spans="1:18">
      <c r="A21" t="s">
        <v>12</v>
      </c>
      <c r="C21" s="20">
        <v>39651.72</v>
      </c>
      <c r="D21" s="20"/>
      <c r="E21">
        <f t="shared" ref="E21:E38" si="0">+(C21-C$7)/C$8</f>
        <v>0</v>
      </c>
      <c r="F21">
        <f t="shared" ref="F21:F38" si="1">ROUND(2*E21,0)/2</f>
        <v>0</v>
      </c>
      <c r="G21">
        <f t="shared" ref="G21:G38" si="2">+C21-(C$7+F21*C$8)</f>
        <v>0</v>
      </c>
      <c r="H21">
        <f>+G21</f>
        <v>0</v>
      </c>
      <c r="O21">
        <f t="shared" ref="O21:O38" ca="1" si="3">+C$11+C$12*F21</f>
        <v>1.4484696649485207E-3</v>
      </c>
      <c r="Q21" s="2">
        <f t="shared" ref="Q21:Q38" si="4">+C21-15018.5</f>
        <v>24633.22</v>
      </c>
    </row>
    <row r="22" spans="1:18">
      <c r="A22" s="42" t="s">
        <v>71</v>
      </c>
      <c r="B22" s="6" t="s">
        <v>28</v>
      </c>
      <c r="C22" s="20">
        <v>39713.351999999999</v>
      </c>
      <c r="D22" s="20" t="s">
        <v>52</v>
      </c>
      <c r="E22" s="50">
        <f t="shared" si="0"/>
        <v>37.999314394507877</v>
      </c>
      <c r="F22">
        <f t="shared" si="1"/>
        <v>38</v>
      </c>
      <c r="G22">
        <f t="shared" si="2"/>
        <v>-1.1120000053779222E-3</v>
      </c>
      <c r="I22">
        <f t="shared" ref="I22:I28" si="5">+G22</f>
        <v>-1.1120000053779222E-3</v>
      </c>
      <c r="O22">
        <f t="shared" ca="1" si="3"/>
        <v>1.1219591713145091E-4</v>
      </c>
      <c r="Q22" s="2">
        <f t="shared" si="4"/>
        <v>24694.851999999999</v>
      </c>
    </row>
    <row r="23" spans="1:18">
      <c r="A23" s="42" t="s">
        <v>71</v>
      </c>
      <c r="B23" s="6" t="s">
        <v>28</v>
      </c>
      <c r="C23" s="20">
        <v>39726.328999999998</v>
      </c>
      <c r="D23" s="20" t="s">
        <v>52</v>
      </c>
      <c r="E23" s="50">
        <f t="shared" si="0"/>
        <v>46.000305809641354</v>
      </c>
      <c r="F23">
        <f t="shared" si="1"/>
        <v>46</v>
      </c>
      <c r="G23">
        <f t="shared" si="2"/>
        <v>4.9599999329075217E-4</v>
      </c>
      <c r="I23">
        <f t="shared" si="5"/>
        <v>4.9599999329075217E-4</v>
      </c>
      <c r="O23">
        <f t="shared" ca="1" si="3"/>
        <v>-1.6912487188266902E-4</v>
      </c>
      <c r="Q23" s="2">
        <f t="shared" si="4"/>
        <v>24707.828999999998</v>
      </c>
    </row>
    <row r="24" spans="1:18">
      <c r="A24" s="42" t="s">
        <v>71</v>
      </c>
      <c r="B24" s="6" t="s">
        <v>28</v>
      </c>
      <c r="C24" s="20">
        <v>40000.434999999998</v>
      </c>
      <c r="D24" s="20" t="s">
        <v>52</v>
      </c>
      <c r="E24" s="50">
        <f t="shared" si="0"/>
        <v>215.00082617927629</v>
      </c>
      <c r="F24">
        <f t="shared" si="1"/>
        <v>215</v>
      </c>
      <c r="G24">
        <f t="shared" si="2"/>
        <v>1.3399999952525832E-3</v>
      </c>
      <c r="I24">
        <f t="shared" si="5"/>
        <v>1.3399999952525832E-3</v>
      </c>
      <c r="O24">
        <f t="shared" ca="1" si="3"/>
        <v>-6.1120265398059521E-3</v>
      </c>
      <c r="Q24" s="2">
        <f t="shared" si="4"/>
        <v>24981.934999999998</v>
      </c>
    </row>
    <row r="25" spans="1:18">
      <c r="A25" s="42" t="s">
        <v>71</v>
      </c>
      <c r="B25" s="6" t="s">
        <v>28</v>
      </c>
      <c r="C25" s="20">
        <v>40013.409</v>
      </c>
      <c r="D25" s="20" t="s">
        <v>52</v>
      </c>
      <c r="E25" s="50">
        <f t="shared" si="0"/>
        <v>222.99996793931066</v>
      </c>
      <c r="F25">
        <f t="shared" si="1"/>
        <v>223</v>
      </c>
      <c r="G25">
        <f t="shared" si="2"/>
        <v>-5.2000003051944077E-5</v>
      </c>
      <c r="I25">
        <f t="shared" si="5"/>
        <v>-5.2000003051944077E-5</v>
      </c>
      <c r="O25">
        <f t="shared" ca="1" si="3"/>
        <v>-6.3933473288200725E-3</v>
      </c>
      <c r="Q25" s="2">
        <f t="shared" si="4"/>
        <v>24994.909</v>
      </c>
    </row>
    <row r="26" spans="1:18">
      <c r="A26" s="42" t="s">
        <v>71</v>
      </c>
      <c r="B26" s="6" t="s">
        <v>49</v>
      </c>
      <c r="C26" s="20">
        <v>40017.464999999997</v>
      </c>
      <c r="D26" s="20" t="s">
        <v>52</v>
      </c>
      <c r="E26" s="50">
        <f t="shared" si="0"/>
        <v>225.50070163583212</v>
      </c>
      <c r="F26">
        <f t="shared" si="1"/>
        <v>225.5</v>
      </c>
      <c r="G26">
        <f t="shared" si="2"/>
        <v>1.137999992351979E-3</v>
      </c>
      <c r="I26">
        <f t="shared" si="5"/>
        <v>1.137999992351979E-3</v>
      </c>
      <c r="O26">
        <f t="shared" ca="1" si="3"/>
        <v>-6.4812600753869857E-3</v>
      </c>
      <c r="Q26" s="2">
        <f t="shared" si="4"/>
        <v>24998.964999999997</v>
      </c>
    </row>
    <row r="27" spans="1:18">
      <c r="A27" s="42" t="s">
        <v>71</v>
      </c>
      <c r="B27" s="6" t="s">
        <v>49</v>
      </c>
      <c r="C27" s="20">
        <v>40056.387999999999</v>
      </c>
      <c r="D27" s="20" t="s">
        <v>52</v>
      </c>
      <c r="E27" s="50">
        <f t="shared" si="0"/>
        <v>249.49874346763343</v>
      </c>
      <c r="F27">
        <f t="shared" si="1"/>
        <v>249.5</v>
      </c>
      <c r="G27">
        <f t="shared" si="2"/>
        <v>-2.0379999987198971E-3</v>
      </c>
      <c r="I27">
        <f t="shared" si="5"/>
        <v>-2.0379999987198971E-3</v>
      </c>
      <c r="O27">
        <f t="shared" ca="1" si="3"/>
        <v>-7.3252224424293442E-3</v>
      </c>
      <c r="Q27" s="2">
        <f t="shared" si="4"/>
        <v>25037.887999999999</v>
      </c>
    </row>
    <row r="28" spans="1:18">
      <c r="A28" s="42" t="s">
        <v>89</v>
      </c>
      <c r="B28" s="6" t="s">
        <v>49</v>
      </c>
      <c r="C28" s="20">
        <v>47369.472999999998</v>
      </c>
      <c r="D28" s="20" t="s">
        <v>52</v>
      </c>
      <c r="E28" s="50">
        <f t="shared" si="0"/>
        <v>4758.3937348482405</v>
      </c>
      <c r="F28">
        <f t="shared" si="1"/>
        <v>4758.5</v>
      </c>
      <c r="G28">
        <f t="shared" si="2"/>
        <v>-0.17235400000208756</v>
      </c>
      <c r="I28">
        <f t="shared" si="5"/>
        <v>-0.17235400000208756</v>
      </c>
      <c r="O28">
        <f t="shared" ca="1" si="3"/>
        <v>-0.16588465215051268</v>
      </c>
      <c r="Q28" s="2">
        <f t="shared" si="4"/>
        <v>32350.972999999998</v>
      </c>
    </row>
    <row r="29" spans="1:18">
      <c r="A29" t="s">
        <v>42</v>
      </c>
      <c r="C29" s="20">
        <v>48753.752</v>
      </c>
      <c r="D29" s="20">
        <v>1E-3</v>
      </c>
      <c r="E29">
        <f t="shared" si="0"/>
        <v>5611.873306024203</v>
      </c>
      <c r="F29">
        <f t="shared" si="1"/>
        <v>5612</v>
      </c>
      <c r="G29">
        <f t="shared" si="2"/>
        <v>-0.20548799999960465</v>
      </c>
      <c r="J29">
        <f>+G29</f>
        <v>-0.20548799999960465</v>
      </c>
      <c r="O29">
        <f t="shared" ca="1" si="3"/>
        <v>-0.19589806382845662</v>
      </c>
      <c r="Q29" s="2">
        <f t="shared" si="4"/>
        <v>33735.252</v>
      </c>
      <c r="R29" s="36" t="s">
        <v>43</v>
      </c>
    </row>
    <row r="30" spans="1:18">
      <c r="A30" t="s">
        <v>42</v>
      </c>
      <c r="C30" s="20">
        <v>49158.415800000002</v>
      </c>
      <c r="D30" s="20">
        <v>6.9999999999999999E-4</v>
      </c>
      <c r="E30">
        <f t="shared" si="0"/>
        <v>5861.3694599746977</v>
      </c>
      <c r="F30">
        <f t="shared" si="1"/>
        <v>5861.5</v>
      </c>
      <c r="G30">
        <f t="shared" si="2"/>
        <v>-0.21172599999408703</v>
      </c>
      <c r="J30">
        <f>+G30</f>
        <v>-0.21172599999408703</v>
      </c>
      <c r="O30">
        <f t="shared" ca="1" si="3"/>
        <v>-0.20467175593583448</v>
      </c>
      <c r="Q30" s="2">
        <f t="shared" si="4"/>
        <v>34139.915800000002</v>
      </c>
    </row>
    <row r="31" spans="1:18">
      <c r="A31" t="s">
        <v>42</v>
      </c>
      <c r="C31" s="20">
        <v>49518.475200000001</v>
      </c>
      <c r="D31" s="20">
        <v>8.9999999999999998E-4</v>
      </c>
      <c r="E31">
        <f t="shared" si="0"/>
        <v>6083.364695263157</v>
      </c>
      <c r="F31">
        <f t="shared" si="1"/>
        <v>6083.5</v>
      </c>
      <c r="G31">
        <f t="shared" si="2"/>
        <v>-0.21945399999822257</v>
      </c>
      <c r="J31">
        <f>+G31</f>
        <v>-0.21945399999822257</v>
      </c>
      <c r="O31">
        <f t="shared" ca="1" si="3"/>
        <v>-0.2124784078309763</v>
      </c>
      <c r="Q31" s="2">
        <f t="shared" si="4"/>
        <v>34499.975200000001</v>
      </c>
    </row>
    <row r="32" spans="1:18">
      <c r="A32" t="s">
        <v>42</v>
      </c>
      <c r="C32" s="20">
        <v>49540.3678</v>
      </c>
      <c r="D32" s="20">
        <v>6.9999999999999999E-4</v>
      </c>
      <c r="E32">
        <f t="shared" si="0"/>
        <v>6096.8626150177197</v>
      </c>
      <c r="F32">
        <f t="shared" si="1"/>
        <v>6097</v>
      </c>
      <c r="G32">
        <f t="shared" si="2"/>
        <v>-0.22282799999811687</v>
      </c>
      <c r="J32">
        <f>+G32</f>
        <v>-0.22282799999811687</v>
      </c>
      <c r="O32">
        <f t="shared" ca="1" si="3"/>
        <v>-0.21295313666243762</v>
      </c>
      <c r="Q32" s="2">
        <f t="shared" si="4"/>
        <v>34521.8678</v>
      </c>
    </row>
    <row r="33" spans="1:17">
      <c r="A33" t="s">
        <v>42</v>
      </c>
      <c r="C33" s="20">
        <v>49600.383099999999</v>
      </c>
      <c r="D33" s="20">
        <v>5.9999999999999995E-4</v>
      </c>
      <c r="E33">
        <f t="shared" si="0"/>
        <v>6133.8651502783105</v>
      </c>
      <c r="F33">
        <f t="shared" si="1"/>
        <v>6134</v>
      </c>
      <c r="G33">
        <f t="shared" si="2"/>
        <v>-0.2187160000030417</v>
      </c>
      <c r="J33">
        <f>+G33</f>
        <v>-0.2187160000030417</v>
      </c>
      <c r="O33">
        <f t="shared" ca="1" si="3"/>
        <v>-0.21425424531162793</v>
      </c>
      <c r="Q33" s="2">
        <f t="shared" si="4"/>
        <v>34581.883099999999</v>
      </c>
    </row>
    <row r="34" spans="1:17">
      <c r="A34" s="35" t="s">
        <v>41</v>
      </c>
      <c r="B34" s="6" t="s">
        <v>28</v>
      </c>
      <c r="C34" s="20">
        <v>53210.705499999996</v>
      </c>
      <c r="D34" s="20">
        <v>6.9999999999999999E-4</v>
      </c>
      <c r="E34">
        <f t="shared" si="0"/>
        <v>8359.815564724362</v>
      </c>
      <c r="F34">
        <f t="shared" si="1"/>
        <v>8360</v>
      </c>
      <c r="G34">
        <f t="shared" si="2"/>
        <v>-0.29914000000280794</v>
      </c>
      <c r="K34">
        <f>+G34</f>
        <v>-0.29914000000280794</v>
      </c>
      <c r="O34">
        <f t="shared" ca="1" si="3"/>
        <v>-0.29253175485480676</v>
      </c>
      <c r="Q34" s="2">
        <f t="shared" si="4"/>
        <v>38192.205499999996</v>
      </c>
    </row>
    <row r="35" spans="1:17">
      <c r="A35" s="52" t="s">
        <v>50</v>
      </c>
      <c r="B35" s="53" t="s">
        <v>28</v>
      </c>
      <c r="C35" s="52">
        <v>53272.330199999997</v>
      </c>
      <c r="D35" s="52">
        <v>2.0000000000000001E-4</v>
      </c>
      <c r="E35" s="50">
        <f t="shared" si="0"/>
        <v>8397.8103782914586</v>
      </c>
      <c r="F35">
        <f t="shared" si="1"/>
        <v>8398</v>
      </c>
      <c r="G35">
        <f t="shared" si="2"/>
        <v>-0.30755200000567129</v>
      </c>
      <c r="K35">
        <f>+G35</f>
        <v>-0.30755200000567129</v>
      </c>
      <c r="O35">
        <f t="shared" ca="1" si="3"/>
        <v>-0.29386802860262384</v>
      </c>
      <c r="Q35" s="2">
        <f t="shared" si="4"/>
        <v>38253.830199999997</v>
      </c>
    </row>
    <row r="36" spans="1:17">
      <c r="A36" s="47" t="s">
        <v>44</v>
      </c>
      <c r="B36" s="48" t="s">
        <v>28</v>
      </c>
      <c r="C36" s="49">
        <v>56480.459300000002</v>
      </c>
      <c r="D36" s="49">
        <v>5.0000000000000001E-4</v>
      </c>
      <c r="E36" s="50">
        <f t="shared" si="0"/>
        <v>10375.787829762678</v>
      </c>
      <c r="F36">
        <f t="shared" si="1"/>
        <v>10376</v>
      </c>
      <c r="G36">
        <f t="shared" si="2"/>
        <v>-0.34412399999564514</v>
      </c>
      <c r="K36">
        <f>+G36</f>
        <v>-0.34412399999564514</v>
      </c>
      <c r="O36">
        <f t="shared" ca="1" si="3"/>
        <v>-0.36342459368636504</v>
      </c>
      <c r="Q36" s="2">
        <f t="shared" si="4"/>
        <v>41461.959300000002</v>
      </c>
    </row>
    <row r="37" spans="1:17">
      <c r="A37" s="38" t="s">
        <v>48</v>
      </c>
      <c r="B37" s="37" t="s">
        <v>28</v>
      </c>
      <c r="C37" s="51">
        <v>56853.488969999999</v>
      </c>
      <c r="D37" s="38">
        <v>3.7000000000000002E-3</v>
      </c>
      <c r="E37" s="50">
        <f t="shared" si="0"/>
        <v>10605.779907073327</v>
      </c>
      <c r="F37">
        <f t="shared" si="1"/>
        <v>10606</v>
      </c>
      <c r="G37">
        <f t="shared" si="2"/>
        <v>-0.3569740000020829</v>
      </c>
      <c r="K37">
        <f>+G37</f>
        <v>-0.3569740000020829</v>
      </c>
      <c r="O37">
        <f t="shared" ca="1" si="3"/>
        <v>-0.37151256637052099</v>
      </c>
      <c r="Q37" s="2">
        <f t="shared" si="4"/>
        <v>41834.988969999999</v>
      </c>
    </row>
    <row r="38" spans="1:17">
      <c r="A38" s="38" t="s">
        <v>48</v>
      </c>
      <c r="B38" s="37" t="s">
        <v>49</v>
      </c>
      <c r="C38" s="51">
        <v>56857.535340000002</v>
      </c>
      <c r="D38" s="38">
        <v>3.5999999999999999E-3</v>
      </c>
      <c r="E38" s="50">
        <f t="shared" si="0"/>
        <v>10608.274703376977</v>
      </c>
      <c r="F38">
        <f t="shared" si="1"/>
        <v>10608.5</v>
      </c>
      <c r="G38">
        <f t="shared" si="2"/>
        <v>-0.36541399999987334</v>
      </c>
      <c r="K38">
        <f>+G38</f>
        <v>-0.36541399999987334</v>
      </c>
      <c r="O38">
        <f t="shared" ca="1" si="3"/>
        <v>-0.37160047911708793</v>
      </c>
      <c r="Q38" s="2">
        <f t="shared" si="4"/>
        <v>41839.035340000002</v>
      </c>
    </row>
    <row r="39" spans="1:17">
      <c r="B39" s="6"/>
      <c r="C39" s="20"/>
      <c r="D39" s="20"/>
      <c r="Q39" s="2"/>
    </row>
    <row r="40" spans="1:17">
      <c r="C40" s="20"/>
      <c r="D40" s="20"/>
      <c r="E40" s="13"/>
      <c r="G40" s="14"/>
      <c r="K40" s="14"/>
      <c r="Q40" s="2"/>
    </row>
    <row r="41" spans="1:17">
      <c r="C41" s="20"/>
      <c r="D41" s="20"/>
      <c r="Q41" s="2"/>
    </row>
    <row r="42" spans="1:17">
      <c r="C42" s="20"/>
      <c r="D42" s="20"/>
      <c r="E42" s="13"/>
      <c r="G42" s="14"/>
      <c r="K42" s="14"/>
      <c r="Q42" s="2"/>
    </row>
    <row r="43" spans="1:17">
      <c r="C43" s="20"/>
      <c r="D43" s="20"/>
      <c r="Q43" s="2"/>
    </row>
    <row r="44" spans="1:17">
      <c r="C44" s="20"/>
      <c r="D44" s="20"/>
      <c r="E44" s="13"/>
      <c r="G44" s="14"/>
      <c r="N44" s="14"/>
      <c r="Q44" s="2"/>
    </row>
    <row r="45" spans="1:17">
      <c r="A45" s="15"/>
      <c r="B45" s="16"/>
      <c r="C45" s="17"/>
      <c r="D45" s="18"/>
      <c r="E45" s="13"/>
      <c r="G45" s="14"/>
      <c r="I45" s="21"/>
      <c r="Q45" s="2"/>
    </row>
    <row r="46" spans="1:17">
      <c r="A46" s="19"/>
      <c r="B46" s="16"/>
      <c r="C46" s="17"/>
      <c r="D46" s="17"/>
      <c r="E46" s="13"/>
      <c r="G46" s="14"/>
      <c r="I46" s="21"/>
      <c r="Q46" s="2"/>
    </row>
    <row r="47" spans="1:17">
      <c r="A47" s="15"/>
      <c r="B47" s="16"/>
      <c r="C47" s="17"/>
      <c r="D47" s="18"/>
      <c r="E47" s="13"/>
      <c r="G47" s="14"/>
      <c r="I47" s="21"/>
      <c r="Q47" s="2"/>
    </row>
    <row r="48" spans="1:17">
      <c r="A48" s="19"/>
      <c r="B48" s="16"/>
      <c r="C48" s="17"/>
      <c r="D48" s="17"/>
      <c r="E48" s="13"/>
      <c r="G48" s="14"/>
      <c r="I48" s="21"/>
      <c r="Q48" s="2"/>
    </row>
    <row r="49" spans="1:17">
      <c r="A49" s="15"/>
      <c r="B49" s="16"/>
      <c r="C49" s="17"/>
      <c r="D49" s="18"/>
      <c r="E49" s="13"/>
      <c r="G49" s="14"/>
      <c r="I49" s="21"/>
      <c r="Q49" s="2"/>
    </row>
    <row r="50" spans="1:17">
      <c r="A50" s="19"/>
      <c r="B50" s="16"/>
      <c r="C50" s="17"/>
      <c r="D50" s="17"/>
      <c r="E50" s="13"/>
      <c r="G50" s="14"/>
      <c r="I50" s="21"/>
      <c r="Q50" s="2"/>
    </row>
    <row r="51" spans="1:17">
      <c r="C51" s="20"/>
      <c r="D51" s="20"/>
      <c r="E51" s="13"/>
      <c r="G51" s="14"/>
      <c r="L51" s="14"/>
      <c r="Q51" s="2"/>
    </row>
    <row r="52" spans="1:17">
      <c r="A52" s="25"/>
      <c r="B52" s="24"/>
      <c r="C52" s="20"/>
      <c r="D52" s="20"/>
      <c r="E52" s="13"/>
      <c r="G52" s="14"/>
      <c r="I52" s="14"/>
      <c r="Q52" s="2"/>
    </row>
    <row r="53" spans="1:17">
      <c r="D53" s="2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selection activeCell="C15" sqref="C1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>
      <c r="A1" s="1" t="s">
        <v>39</v>
      </c>
      <c r="D1" s="11"/>
    </row>
    <row r="2" spans="1:5">
      <c r="A2" t="s">
        <v>26</v>
      </c>
      <c r="B2" s="32" t="s">
        <v>40</v>
      </c>
      <c r="C2" s="6"/>
      <c r="D2" s="6"/>
    </row>
    <row r="3" spans="1:5" ht="13.5" thickBot="1"/>
    <row r="4" spans="1:5" ht="13.5" thickBot="1">
      <c r="A4" s="8" t="s">
        <v>0</v>
      </c>
      <c r="C4" s="33">
        <v>39651.72</v>
      </c>
      <c r="D4" s="34">
        <v>1.6219239999999999</v>
      </c>
    </row>
    <row r="6" spans="1:5">
      <c r="A6" s="8" t="s">
        <v>1</v>
      </c>
    </row>
    <row r="7" spans="1:5">
      <c r="A7" t="s">
        <v>2</v>
      </c>
      <c r="C7">
        <v>53210.703357748193</v>
      </c>
    </row>
    <row r="8" spans="1:5">
      <c r="A8" t="s">
        <v>3</v>
      </c>
      <c r="C8">
        <v>1.6218880867974352</v>
      </c>
    </row>
    <row r="9" spans="1:5">
      <c r="A9" s="30" t="s">
        <v>36</v>
      </c>
      <c r="C9" s="27">
        <v>8</v>
      </c>
      <c r="D9" t="s">
        <v>37</v>
      </c>
    </row>
    <row r="10" spans="1:5" ht="13.5" thickBot="1">
      <c r="C10" s="7" t="s">
        <v>20</v>
      </c>
      <c r="D10" s="7" t="s">
        <v>21</v>
      </c>
    </row>
    <row r="11" spans="1:5">
      <c r="A11" t="s">
        <v>16</v>
      </c>
      <c r="C11">
        <f>INTERCEPT(G21:G98,F21:F98)</f>
        <v>-1.6376523195915641E-12</v>
      </c>
      <c r="D11" s="6"/>
    </row>
    <row r="12" spans="1:5">
      <c r="A12" t="s">
        <v>17</v>
      </c>
      <c r="C12">
        <f>SLOPE(G21:G98,F21:F98)</f>
        <v>-2.0555706965234261E-16</v>
      </c>
      <c r="D12" s="6"/>
    </row>
    <row r="13" spans="1:5">
      <c r="A13" t="s">
        <v>19</v>
      </c>
      <c r="C13" s="6" t="s">
        <v>14</v>
      </c>
      <c r="D13" s="6"/>
    </row>
    <row r="15" spans="1:5">
      <c r="A15" s="3" t="s">
        <v>18</v>
      </c>
      <c r="C15" s="22">
        <f>(C7+C11)+(C8+C12)*INT(MAX(F21:F3533))</f>
        <v>53210.703357748193</v>
      </c>
      <c r="D15" s="26" t="s">
        <v>33</v>
      </c>
      <c r="E15" s="28">
        <f ca="1">TODAY()+15018.5-B9/24</f>
        <v>60320.5</v>
      </c>
    </row>
    <row r="16" spans="1:5">
      <c r="A16" s="8" t="s">
        <v>4</v>
      </c>
      <c r="C16" s="23">
        <f>+C8+C12</f>
        <v>1.621888086797435</v>
      </c>
      <c r="D16" s="26" t="s">
        <v>35</v>
      </c>
      <c r="E16" s="28">
        <f ca="1">ROUND(2*(E15-C15)/C16,0)/2+1</f>
        <v>4384.5</v>
      </c>
    </row>
    <row r="17" spans="1:17" ht="13.5" thickBot="1">
      <c r="A17" s="26" t="s">
        <v>32</v>
      </c>
      <c r="C17">
        <f>COUNT(C21:C2191)</f>
        <v>7</v>
      </c>
      <c r="D17" s="26" t="s">
        <v>34</v>
      </c>
      <c r="E17" s="29">
        <f ca="1">+C15+C16*E16-15018.5-C9/24</f>
        <v>45303.038340978208</v>
      </c>
    </row>
    <row r="18" spans="1:17">
      <c r="A18" s="8" t="s">
        <v>5</v>
      </c>
      <c r="C18" s="4">
        <f>+C15</f>
        <v>53210.703357748193</v>
      </c>
      <c r="D18" s="5">
        <f>+C16</f>
        <v>1.621888086797435</v>
      </c>
      <c r="E18" s="31" t="s">
        <v>38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29</v>
      </c>
      <c r="K20" s="10" t="s">
        <v>27</v>
      </c>
      <c r="L20" s="10" t="s">
        <v>31</v>
      </c>
      <c r="M20" s="10" t="s">
        <v>24</v>
      </c>
      <c r="N20" s="10" t="s">
        <v>25</v>
      </c>
      <c r="O20" s="10" t="s">
        <v>23</v>
      </c>
      <c r="P20" s="9" t="s">
        <v>22</v>
      </c>
      <c r="Q20" s="7" t="s">
        <v>15</v>
      </c>
    </row>
    <row r="21" spans="1:17">
      <c r="A21" t="s">
        <v>12</v>
      </c>
      <c r="C21" s="20">
        <v>39651.72</v>
      </c>
      <c r="D21" s="20"/>
      <c r="E21">
        <f t="shared" ref="E21:E27" si="0">+(C21-C$7)/C$8</f>
        <v>-8359.9993539145053</v>
      </c>
      <c r="F21">
        <f t="shared" ref="F21:F27" si="1">ROUND(2*E21,0)/2</f>
        <v>-8360</v>
      </c>
      <c r="G21">
        <f t="shared" ref="G21:G27" si="2">+C21-(C$7+F21*C$8)</f>
        <v>1.0478783660801128E-3</v>
      </c>
      <c r="H21">
        <f>+G21</f>
        <v>1.0478783660801128E-3</v>
      </c>
      <c r="O21">
        <f t="shared" ref="O21:O27" si="3">+C$11+C$12*F21</f>
        <v>8.0804782702019996E-14</v>
      </c>
      <c r="Q21" s="2">
        <f t="shared" ref="Q21:Q27" si="4">+C21-15018.5</f>
        <v>24633.22</v>
      </c>
    </row>
    <row r="22" spans="1:17">
      <c r="A22" s="35" t="s">
        <v>41</v>
      </c>
      <c r="B22" s="6" t="s">
        <v>28</v>
      </c>
      <c r="C22" s="20">
        <v>53210.705499999996</v>
      </c>
      <c r="D22" s="20">
        <v>6.9999999999999999E-4</v>
      </c>
      <c r="E22">
        <f t="shared" si="0"/>
        <v>1.3208382386721944E-3</v>
      </c>
      <c r="F22">
        <f t="shared" si="1"/>
        <v>0</v>
      </c>
      <c r="G22">
        <f t="shared" si="2"/>
        <v>2.1422518038889393E-3</v>
      </c>
      <c r="I22">
        <f>+G22</f>
        <v>2.1422518038889393E-3</v>
      </c>
      <c r="O22">
        <f t="shared" si="3"/>
        <v>-1.6376523195915641E-12</v>
      </c>
      <c r="Q22" s="2">
        <f t="shared" si="4"/>
        <v>38192.205499999996</v>
      </c>
    </row>
    <row r="23" spans="1:17">
      <c r="A23" t="s">
        <v>42</v>
      </c>
      <c r="C23" s="20">
        <v>48753.752</v>
      </c>
      <c r="D23" s="20">
        <v>1E-3</v>
      </c>
      <c r="E23">
        <f t="shared" si="0"/>
        <v>-2748.0017850977906</v>
      </c>
      <c r="F23">
        <f t="shared" si="1"/>
        <v>-2748</v>
      </c>
      <c r="G23">
        <f t="shared" si="2"/>
        <v>-2.8952288412256166E-3</v>
      </c>
      <c r="J23">
        <f>+G23</f>
        <v>-2.8952288412256166E-3</v>
      </c>
      <c r="O23">
        <f t="shared" si="3"/>
        <v>-1.0727814921869268E-12</v>
      </c>
      <c r="Q23" s="2">
        <f t="shared" si="4"/>
        <v>33735.252</v>
      </c>
    </row>
    <row r="24" spans="1:17">
      <c r="A24" t="s">
        <v>42</v>
      </c>
      <c r="C24" s="20">
        <v>49158.415800000002</v>
      </c>
      <c r="D24" s="20">
        <v>6.9999999999999999E-4</v>
      </c>
      <c r="E24">
        <f t="shared" si="0"/>
        <v>-2498.5001065947763</v>
      </c>
      <c r="F24">
        <f t="shared" si="1"/>
        <v>-2498.5</v>
      </c>
      <c r="G24">
        <f t="shared" si="2"/>
        <v>-1.7288480012211949E-4</v>
      </c>
      <c r="J24">
        <f>+G24</f>
        <v>-1.7288480012211949E-4</v>
      </c>
      <c r="O24">
        <f t="shared" si="3"/>
        <v>-1.124067981065186E-12</v>
      </c>
      <c r="Q24" s="2">
        <f t="shared" si="4"/>
        <v>34139.915800000002</v>
      </c>
    </row>
    <row r="25" spans="1:17">
      <c r="A25" t="s">
        <v>42</v>
      </c>
      <c r="C25" s="20">
        <v>49518.475200000001</v>
      </c>
      <c r="D25" s="20">
        <v>8.9999999999999998E-4</v>
      </c>
      <c r="E25">
        <f t="shared" si="0"/>
        <v>-2276.4999557021411</v>
      </c>
      <c r="F25">
        <f t="shared" si="1"/>
        <v>-2276.5</v>
      </c>
      <c r="G25">
        <f t="shared" si="2"/>
        <v>7.18461669748649E-5</v>
      </c>
      <c r="J25">
        <f>+G25</f>
        <v>7.18461669748649E-5</v>
      </c>
      <c r="O25">
        <f t="shared" si="3"/>
        <v>-1.1697016505280061E-12</v>
      </c>
      <c r="Q25" s="2">
        <f t="shared" si="4"/>
        <v>34499.975200000001</v>
      </c>
    </row>
    <row r="26" spans="1:17">
      <c r="A26" t="s">
        <v>42</v>
      </c>
      <c r="C26" s="20">
        <v>49540.3678</v>
      </c>
      <c r="D26" s="20">
        <v>6.9999999999999999E-4</v>
      </c>
      <c r="E26">
        <f t="shared" si="0"/>
        <v>-2263.0017370653495</v>
      </c>
      <c r="F26">
        <f t="shared" si="1"/>
        <v>-2263</v>
      </c>
      <c r="G26">
        <f t="shared" si="2"/>
        <v>-2.8173255996080115E-3</v>
      </c>
      <c r="J26">
        <f>+G26</f>
        <v>-2.8173255996080115E-3</v>
      </c>
      <c r="O26">
        <f t="shared" si="3"/>
        <v>-1.1724766709683128E-12</v>
      </c>
      <c r="Q26" s="2">
        <f t="shared" si="4"/>
        <v>34521.8678</v>
      </c>
    </row>
    <row r="27" spans="1:17">
      <c r="A27" t="s">
        <v>42</v>
      </c>
      <c r="C27" s="20">
        <v>49600.383099999999</v>
      </c>
      <c r="D27" s="20">
        <v>5.9999999999999995E-4</v>
      </c>
      <c r="E27">
        <f t="shared" si="0"/>
        <v>-2225.9983824636738</v>
      </c>
      <c r="F27">
        <f t="shared" si="1"/>
        <v>-2226</v>
      </c>
      <c r="G27">
        <f t="shared" si="2"/>
        <v>2.6234628967358731E-3</v>
      </c>
      <c r="J27">
        <f>+G27</f>
        <v>2.6234628967358731E-3</v>
      </c>
      <c r="O27">
        <f t="shared" si="3"/>
        <v>-1.1800822825454495E-12</v>
      </c>
      <c r="Q27" s="2">
        <f t="shared" si="4"/>
        <v>34581.883099999999</v>
      </c>
    </row>
    <row r="28" spans="1:17">
      <c r="C28" s="20"/>
      <c r="D28" s="20"/>
      <c r="Q28" s="2"/>
    </row>
    <row r="29" spans="1:17">
      <c r="C29" s="20"/>
      <c r="D29" s="20"/>
      <c r="Q29" s="2"/>
    </row>
    <row r="30" spans="1:17">
      <c r="C30" s="20"/>
      <c r="D30" s="20"/>
      <c r="Q30" s="2"/>
    </row>
    <row r="31" spans="1:17">
      <c r="C31" s="20"/>
      <c r="D31" s="20"/>
      <c r="Q31" s="2"/>
    </row>
    <row r="32" spans="1:17">
      <c r="C32" s="20"/>
      <c r="D32" s="20"/>
      <c r="Q32" s="2"/>
    </row>
    <row r="33" spans="1:17">
      <c r="C33" s="20"/>
      <c r="D33" s="20"/>
      <c r="Q33" s="2"/>
    </row>
    <row r="34" spans="1:17">
      <c r="C34" s="20"/>
      <c r="D34" s="20"/>
      <c r="Q34" s="2"/>
    </row>
    <row r="35" spans="1:17">
      <c r="C35" s="20"/>
      <c r="D35" s="20"/>
      <c r="Q35" s="2"/>
    </row>
    <row r="36" spans="1:17">
      <c r="C36" s="20"/>
      <c r="D36" s="20"/>
      <c r="Q36" s="2"/>
    </row>
    <row r="37" spans="1:17">
      <c r="A37" s="12"/>
      <c r="C37" s="20"/>
      <c r="D37" s="20"/>
      <c r="Q37" s="2"/>
    </row>
    <row r="38" spans="1:17">
      <c r="C38" s="20"/>
      <c r="D38" s="20"/>
      <c r="Q38" s="2"/>
    </row>
    <row r="39" spans="1:17">
      <c r="C39" s="20"/>
      <c r="D39" s="20"/>
      <c r="Q39" s="2"/>
    </row>
    <row r="40" spans="1:17">
      <c r="C40" s="20"/>
      <c r="D40" s="20"/>
      <c r="E40" s="13"/>
      <c r="G40" s="14"/>
      <c r="K40" s="14"/>
      <c r="Q40" s="2"/>
    </row>
    <row r="41" spans="1:17">
      <c r="C41" s="20"/>
      <c r="D41" s="20"/>
      <c r="Q41" s="2"/>
    </row>
    <row r="42" spans="1:17">
      <c r="C42" s="20"/>
      <c r="D42" s="20"/>
      <c r="E42" s="13"/>
      <c r="G42" s="14"/>
      <c r="K42" s="14"/>
      <c r="Q42" s="2"/>
    </row>
    <row r="43" spans="1:17">
      <c r="C43" s="20"/>
      <c r="D43" s="20"/>
      <c r="Q43" s="2"/>
    </row>
    <row r="44" spans="1:17">
      <c r="C44" s="20"/>
      <c r="D44" s="20"/>
      <c r="E44" s="13"/>
      <c r="G44" s="14"/>
      <c r="N44" s="14"/>
      <c r="Q44" s="2"/>
    </row>
    <row r="45" spans="1:17">
      <c r="A45" s="15"/>
      <c r="B45" s="16"/>
      <c r="C45" s="17"/>
      <c r="D45" s="18"/>
      <c r="E45" s="13"/>
      <c r="G45" s="14"/>
      <c r="I45" s="21"/>
      <c r="Q45" s="2"/>
    </row>
    <row r="46" spans="1:17">
      <c r="A46" s="19"/>
      <c r="B46" s="16"/>
      <c r="C46" s="17"/>
      <c r="D46" s="17"/>
      <c r="E46" s="13"/>
      <c r="G46" s="14"/>
      <c r="I46" s="21"/>
      <c r="Q46" s="2"/>
    </row>
    <row r="47" spans="1:17">
      <c r="A47" s="15"/>
      <c r="B47" s="16"/>
      <c r="C47" s="17"/>
      <c r="D47" s="18"/>
      <c r="E47" s="13"/>
      <c r="G47" s="14"/>
      <c r="I47" s="21"/>
      <c r="Q47" s="2"/>
    </row>
    <row r="48" spans="1:17">
      <c r="A48" s="19"/>
      <c r="B48" s="16"/>
      <c r="C48" s="17"/>
      <c r="D48" s="17"/>
      <c r="E48" s="13"/>
      <c r="G48" s="14"/>
      <c r="I48" s="21"/>
      <c r="Q48" s="2"/>
    </row>
    <row r="49" spans="1:17">
      <c r="A49" s="15"/>
      <c r="B49" s="16"/>
      <c r="C49" s="17"/>
      <c r="D49" s="18"/>
      <c r="E49" s="13"/>
      <c r="G49" s="14"/>
      <c r="I49" s="21"/>
      <c r="Q49" s="2"/>
    </row>
    <row r="50" spans="1:17">
      <c r="A50" s="19"/>
      <c r="B50" s="16"/>
      <c r="C50" s="17"/>
      <c r="D50" s="17"/>
      <c r="E50" s="13"/>
      <c r="G50" s="14"/>
      <c r="I50" s="21"/>
      <c r="Q50" s="2"/>
    </row>
    <row r="51" spans="1:17">
      <c r="C51" s="20"/>
      <c r="D51" s="20"/>
      <c r="E51" s="13"/>
      <c r="G51" s="14"/>
      <c r="L51" s="14"/>
      <c r="Q51" s="2"/>
    </row>
    <row r="52" spans="1:17">
      <c r="A52" s="25"/>
      <c r="B52" s="24"/>
      <c r="C52" s="20"/>
      <c r="D52" s="20"/>
      <c r="E52" s="13"/>
      <c r="G52" s="14"/>
      <c r="I52" s="14"/>
      <c r="Q52" s="2"/>
    </row>
    <row r="53" spans="1:17">
      <c r="D53" s="2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1"/>
  <sheetViews>
    <sheetView topLeftCell="A3" workbookViewId="0">
      <selection activeCell="A11" sqref="A11:D17"/>
    </sheetView>
  </sheetViews>
  <sheetFormatPr defaultRowHeight="12.75"/>
  <cols>
    <col min="1" max="1" width="19.7109375" style="20" customWidth="1"/>
    <col min="2" max="2" width="4.42578125" style="25" customWidth="1"/>
    <col min="3" max="3" width="12.7109375" style="20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20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>
      <c r="A1" s="54" t="s">
        <v>57</v>
      </c>
      <c r="I1" s="55" t="s">
        <v>58</v>
      </c>
      <c r="J1" s="56" t="s">
        <v>54</v>
      </c>
    </row>
    <row r="2" spans="1:16">
      <c r="I2" s="57" t="s">
        <v>59</v>
      </c>
      <c r="J2" s="58" t="s">
        <v>53</v>
      </c>
    </row>
    <row r="3" spans="1:16">
      <c r="A3" s="59" t="s">
        <v>60</v>
      </c>
      <c r="I3" s="57" t="s">
        <v>61</v>
      </c>
      <c r="J3" s="58" t="s">
        <v>51</v>
      </c>
    </row>
    <row r="4" spans="1:16">
      <c r="I4" s="57" t="s">
        <v>62</v>
      </c>
      <c r="J4" s="58" t="s">
        <v>51</v>
      </c>
    </row>
    <row r="5" spans="1:16" ht="13.5" thickBot="1">
      <c r="I5" s="60" t="s">
        <v>63</v>
      </c>
      <c r="J5" s="61" t="s">
        <v>52</v>
      </c>
    </row>
    <row r="10" spans="1:16" ht="13.5" thickBot="1"/>
    <row r="11" spans="1:16" ht="12.75" customHeight="1" thickBot="1">
      <c r="A11" s="20" t="str">
        <f t="shared" ref="A11:A25" si="0">P11</f>
        <v> PZ 17.502 </v>
      </c>
      <c r="B11" s="6" t="str">
        <f t="shared" ref="B11:B25" si="1">IF(H11=INT(H11),"I","II")</f>
        <v>I</v>
      </c>
      <c r="C11" s="20">
        <f t="shared" ref="C11:C25" si="2">1*G11</f>
        <v>39713.351999999999</v>
      </c>
      <c r="D11" s="25" t="str">
        <f t="shared" ref="D11:D25" si="3">VLOOKUP(F11,I$1:J$5,2,FALSE)</f>
        <v>vis</v>
      </c>
      <c r="E11" s="62">
        <f>VLOOKUP(C11,Active!C$21:E$973,3,FALSE)</f>
        <v>37.999314394507877</v>
      </c>
      <c r="F11" s="6" t="s">
        <v>63</v>
      </c>
      <c r="G11" s="25" t="str">
        <f t="shared" ref="G11:G25" si="4">MID(I11,3,LEN(I11)-3)</f>
        <v>39713.352</v>
      </c>
      <c r="H11" s="20">
        <f t="shared" ref="H11:H25" si="5">1*K11</f>
        <v>-8322</v>
      </c>
      <c r="I11" s="63" t="s">
        <v>65</v>
      </c>
      <c r="J11" s="64" t="s">
        <v>66</v>
      </c>
      <c r="K11" s="63">
        <v>-8322</v>
      </c>
      <c r="L11" s="63" t="s">
        <v>67</v>
      </c>
      <c r="M11" s="64" t="s">
        <v>68</v>
      </c>
      <c r="N11" s="64" t="s">
        <v>69</v>
      </c>
      <c r="O11" s="65" t="s">
        <v>70</v>
      </c>
      <c r="P11" s="65" t="s">
        <v>71</v>
      </c>
    </row>
    <row r="12" spans="1:16" ht="12.75" customHeight="1" thickBot="1">
      <c r="A12" s="20" t="str">
        <f t="shared" si="0"/>
        <v> PZ 17.502 </v>
      </c>
      <c r="B12" s="6" t="str">
        <f t="shared" si="1"/>
        <v>I</v>
      </c>
      <c r="C12" s="20">
        <f t="shared" si="2"/>
        <v>39726.328999999998</v>
      </c>
      <c r="D12" s="25" t="str">
        <f t="shared" si="3"/>
        <v>vis</v>
      </c>
      <c r="E12" s="62">
        <f>VLOOKUP(C12,Active!C$21:E$973,3,FALSE)</f>
        <v>46.000305809641354</v>
      </c>
      <c r="F12" s="6" t="s">
        <v>63</v>
      </c>
      <c r="G12" s="25" t="str">
        <f t="shared" si="4"/>
        <v>39726.329</v>
      </c>
      <c r="H12" s="20">
        <f t="shared" si="5"/>
        <v>-8314</v>
      </c>
      <c r="I12" s="63" t="s">
        <v>72</v>
      </c>
      <c r="J12" s="64" t="s">
        <v>73</v>
      </c>
      <c r="K12" s="63">
        <v>-8314</v>
      </c>
      <c r="L12" s="63" t="s">
        <v>74</v>
      </c>
      <c r="M12" s="64" t="s">
        <v>68</v>
      </c>
      <c r="N12" s="64" t="s">
        <v>69</v>
      </c>
      <c r="O12" s="65" t="s">
        <v>70</v>
      </c>
      <c r="P12" s="65" t="s">
        <v>71</v>
      </c>
    </row>
    <row r="13" spans="1:16" ht="12.75" customHeight="1" thickBot="1">
      <c r="A13" s="20" t="str">
        <f t="shared" si="0"/>
        <v> PZ 17.502 </v>
      </c>
      <c r="B13" s="6" t="str">
        <f t="shared" si="1"/>
        <v>I</v>
      </c>
      <c r="C13" s="20">
        <f t="shared" si="2"/>
        <v>40000.434999999998</v>
      </c>
      <c r="D13" s="25" t="str">
        <f t="shared" si="3"/>
        <v>vis</v>
      </c>
      <c r="E13" s="62">
        <f>VLOOKUP(C13,Active!C$21:E$973,3,FALSE)</f>
        <v>215.00082617927629</v>
      </c>
      <c r="F13" s="6" t="s">
        <v>63</v>
      </c>
      <c r="G13" s="25" t="str">
        <f t="shared" si="4"/>
        <v>40000.435</v>
      </c>
      <c r="H13" s="20">
        <f t="shared" si="5"/>
        <v>-8145</v>
      </c>
      <c r="I13" s="63" t="s">
        <v>75</v>
      </c>
      <c r="J13" s="64" t="s">
        <v>76</v>
      </c>
      <c r="K13" s="63">
        <v>-8145</v>
      </c>
      <c r="L13" s="63" t="s">
        <v>77</v>
      </c>
      <c r="M13" s="64" t="s">
        <v>68</v>
      </c>
      <c r="N13" s="64" t="s">
        <v>69</v>
      </c>
      <c r="O13" s="65" t="s">
        <v>70</v>
      </c>
      <c r="P13" s="65" t="s">
        <v>71</v>
      </c>
    </row>
    <row r="14" spans="1:16" ht="12.75" customHeight="1" thickBot="1">
      <c r="A14" s="20" t="str">
        <f t="shared" si="0"/>
        <v> PZ 17.502 </v>
      </c>
      <c r="B14" s="6" t="str">
        <f t="shared" si="1"/>
        <v>I</v>
      </c>
      <c r="C14" s="20">
        <f t="shared" si="2"/>
        <v>40013.409</v>
      </c>
      <c r="D14" s="25" t="str">
        <f t="shared" si="3"/>
        <v>vis</v>
      </c>
      <c r="E14" s="62">
        <f>VLOOKUP(C14,Active!C$21:E$973,3,FALSE)</f>
        <v>222.99996793931066</v>
      </c>
      <c r="F14" s="6" t="s">
        <v>63</v>
      </c>
      <c r="G14" s="25" t="str">
        <f t="shared" si="4"/>
        <v>40013.409</v>
      </c>
      <c r="H14" s="20">
        <f t="shared" si="5"/>
        <v>-8137</v>
      </c>
      <c r="I14" s="63" t="s">
        <v>78</v>
      </c>
      <c r="J14" s="64" t="s">
        <v>79</v>
      </c>
      <c r="K14" s="63">
        <v>-8137</v>
      </c>
      <c r="L14" s="63" t="s">
        <v>80</v>
      </c>
      <c r="M14" s="64" t="s">
        <v>68</v>
      </c>
      <c r="N14" s="64" t="s">
        <v>69</v>
      </c>
      <c r="O14" s="65" t="s">
        <v>70</v>
      </c>
      <c r="P14" s="65" t="s">
        <v>71</v>
      </c>
    </row>
    <row r="15" spans="1:16" ht="12.75" customHeight="1" thickBot="1">
      <c r="A15" s="20" t="str">
        <f t="shared" si="0"/>
        <v> PZ 17.502 </v>
      </c>
      <c r="B15" s="6" t="str">
        <f t="shared" si="1"/>
        <v>II</v>
      </c>
      <c r="C15" s="20">
        <f t="shared" si="2"/>
        <v>40017.464999999997</v>
      </c>
      <c r="D15" s="25" t="str">
        <f t="shared" si="3"/>
        <v>vis</v>
      </c>
      <c r="E15" s="62">
        <f>VLOOKUP(C15,Active!C$21:E$973,3,FALSE)</f>
        <v>225.50070163583212</v>
      </c>
      <c r="F15" s="6" t="s">
        <v>63</v>
      </c>
      <c r="G15" s="25" t="str">
        <f t="shared" si="4"/>
        <v>40017.465</v>
      </c>
      <c r="H15" s="20">
        <f t="shared" si="5"/>
        <v>-8134.5</v>
      </c>
      <c r="I15" s="63" t="s">
        <v>81</v>
      </c>
      <c r="J15" s="64" t="s">
        <v>82</v>
      </c>
      <c r="K15" s="63">
        <v>-8134.5</v>
      </c>
      <c r="L15" s="63" t="s">
        <v>77</v>
      </c>
      <c r="M15" s="64" t="s">
        <v>68</v>
      </c>
      <c r="N15" s="64" t="s">
        <v>69</v>
      </c>
      <c r="O15" s="65" t="s">
        <v>70</v>
      </c>
      <c r="P15" s="65" t="s">
        <v>71</v>
      </c>
    </row>
    <row r="16" spans="1:16" ht="12.75" customHeight="1" thickBot="1">
      <c r="A16" s="20" t="str">
        <f t="shared" si="0"/>
        <v> PZ 17.502 </v>
      </c>
      <c r="B16" s="6" t="str">
        <f t="shared" si="1"/>
        <v>II</v>
      </c>
      <c r="C16" s="20">
        <f t="shared" si="2"/>
        <v>40056.387999999999</v>
      </c>
      <c r="D16" s="25" t="str">
        <f t="shared" si="3"/>
        <v>vis</v>
      </c>
      <c r="E16" s="62">
        <f>VLOOKUP(C16,Active!C$21:E$973,3,FALSE)</f>
        <v>249.49874346763343</v>
      </c>
      <c r="F16" s="6" t="s">
        <v>63</v>
      </c>
      <c r="G16" s="25" t="str">
        <f t="shared" si="4"/>
        <v>40056.388</v>
      </c>
      <c r="H16" s="20">
        <f t="shared" si="5"/>
        <v>-8110.5</v>
      </c>
      <c r="I16" s="63" t="s">
        <v>83</v>
      </c>
      <c r="J16" s="64" t="s">
        <v>84</v>
      </c>
      <c r="K16" s="63">
        <v>-8110.5</v>
      </c>
      <c r="L16" s="63" t="s">
        <v>85</v>
      </c>
      <c r="M16" s="64" t="s">
        <v>68</v>
      </c>
      <c r="N16" s="64" t="s">
        <v>69</v>
      </c>
      <c r="O16" s="65" t="s">
        <v>70</v>
      </c>
      <c r="P16" s="65" t="s">
        <v>71</v>
      </c>
    </row>
    <row r="17" spans="1:16" ht="12.75" customHeight="1" thickBot="1">
      <c r="A17" s="20" t="str">
        <f t="shared" si="0"/>
        <v> BAC 42.225 </v>
      </c>
      <c r="B17" s="6" t="str">
        <f t="shared" si="1"/>
        <v>II</v>
      </c>
      <c r="C17" s="20">
        <f t="shared" si="2"/>
        <v>47369.472999999998</v>
      </c>
      <c r="D17" s="25" t="str">
        <f t="shared" si="3"/>
        <v>vis</v>
      </c>
      <c r="E17" s="62">
        <f>VLOOKUP(C17,Active!C$21:E$973,3,FALSE)</f>
        <v>4758.3937348482405</v>
      </c>
      <c r="F17" s="6" t="s">
        <v>63</v>
      </c>
      <c r="G17" s="25" t="str">
        <f t="shared" si="4"/>
        <v>47369.473</v>
      </c>
      <c r="H17" s="20">
        <f t="shared" si="5"/>
        <v>-3601.5</v>
      </c>
      <c r="I17" s="63" t="s">
        <v>86</v>
      </c>
      <c r="J17" s="64" t="s">
        <v>87</v>
      </c>
      <c r="K17" s="63">
        <v>-3601.5</v>
      </c>
      <c r="L17" s="63" t="s">
        <v>64</v>
      </c>
      <c r="M17" s="64" t="s">
        <v>68</v>
      </c>
      <c r="N17" s="64" t="s">
        <v>69</v>
      </c>
      <c r="O17" s="65" t="s">
        <v>88</v>
      </c>
      <c r="P17" s="65" t="s">
        <v>89</v>
      </c>
    </row>
    <row r="18" spans="1:16" ht="12.75" customHeight="1" thickBot="1">
      <c r="A18" s="20" t="str">
        <f t="shared" si="0"/>
        <v> AAPS 130.311 </v>
      </c>
      <c r="B18" s="6" t="str">
        <f t="shared" si="1"/>
        <v>I</v>
      </c>
      <c r="C18" s="20">
        <f t="shared" si="2"/>
        <v>48753.752</v>
      </c>
      <c r="D18" s="25" t="str">
        <f t="shared" si="3"/>
        <v>vis</v>
      </c>
      <c r="E18" s="62">
        <f>VLOOKUP(C18,Active!C$21:E$973,3,FALSE)</f>
        <v>5611.873306024203</v>
      </c>
      <c r="F18" s="6" t="s">
        <v>63</v>
      </c>
      <c r="G18" s="25" t="str">
        <f t="shared" si="4"/>
        <v>48753.7520</v>
      </c>
      <c r="H18" s="20">
        <f t="shared" si="5"/>
        <v>-2748</v>
      </c>
      <c r="I18" s="63" t="s">
        <v>90</v>
      </c>
      <c r="J18" s="64" t="s">
        <v>91</v>
      </c>
      <c r="K18" s="63">
        <v>-2748</v>
      </c>
      <c r="L18" s="63" t="s">
        <v>92</v>
      </c>
      <c r="M18" s="64" t="s">
        <v>68</v>
      </c>
      <c r="N18" s="64" t="s">
        <v>69</v>
      </c>
      <c r="O18" s="65" t="s">
        <v>88</v>
      </c>
      <c r="P18" s="65" t="s">
        <v>93</v>
      </c>
    </row>
    <row r="19" spans="1:16" ht="12.75" customHeight="1" thickBot="1">
      <c r="A19" s="20" t="str">
        <f t="shared" si="0"/>
        <v> AAPS 130.311 </v>
      </c>
      <c r="B19" s="6" t="str">
        <f t="shared" si="1"/>
        <v>II</v>
      </c>
      <c r="C19" s="20">
        <f t="shared" si="2"/>
        <v>49158.415800000002</v>
      </c>
      <c r="D19" s="25" t="str">
        <f t="shared" si="3"/>
        <v>vis</v>
      </c>
      <c r="E19" s="62">
        <f>VLOOKUP(C19,Active!C$21:E$973,3,FALSE)</f>
        <v>5861.3694599746977</v>
      </c>
      <c r="F19" s="6" t="s">
        <v>63</v>
      </c>
      <c r="G19" s="25" t="str">
        <f t="shared" si="4"/>
        <v>49158.4158</v>
      </c>
      <c r="H19" s="20">
        <f t="shared" si="5"/>
        <v>-2498.5</v>
      </c>
      <c r="I19" s="63" t="s">
        <v>94</v>
      </c>
      <c r="J19" s="64" t="s">
        <v>95</v>
      </c>
      <c r="K19" s="63">
        <v>-2498.5</v>
      </c>
      <c r="L19" s="63" t="s">
        <v>96</v>
      </c>
      <c r="M19" s="64" t="s">
        <v>68</v>
      </c>
      <c r="N19" s="64" t="s">
        <v>69</v>
      </c>
      <c r="O19" s="65" t="s">
        <v>88</v>
      </c>
      <c r="P19" s="65" t="s">
        <v>93</v>
      </c>
    </row>
    <row r="20" spans="1:16" ht="12.75" customHeight="1" thickBot="1">
      <c r="A20" s="20" t="str">
        <f t="shared" si="0"/>
        <v> AAPS 130.311 </v>
      </c>
      <c r="B20" s="6" t="str">
        <f t="shared" si="1"/>
        <v>II</v>
      </c>
      <c r="C20" s="20">
        <f t="shared" si="2"/>
        <v>49518.475200000001</v>
      </c>
      <c r="D20" s="25" t="str">
        <f t="shared" si="3"/>
        <v>vis</v>
      </c>
      <c r="E20" s="62">
        <f>VLOOKUP(C20,Active!C$21:E$973,3,FALSE)</f>
        <v>6083.364695263157</v>
      </c>
      <c r="F20" s="6" t="s">
        <v>63</v>
      </c>
      <c r="G20" s="25" t="str">
        <f t="shared" si="4"/>
        <v>49518.4752</v>
      </c>
      <c r="H20" s="20">
        <f t="shared" si="5"/>
        <v>-2276.5</v>
      </c>
      <c r="I20" s="63" t="s">
        <v>97</v>
      </c>
      <c r="J20" s="64" t="s">
        <v>98</v>
      </c>
      <c r="K20" s="63">
        <v>-2276.5</v>
      </c>
      <c r="L20" s="63" t="s">
        <v>99</v>
      </c>
      <c r="M20" s="64" t="s">
        <v>68</v>
      </c>
      <c r="N20" s="64" t="s">
        <v>69</v>
      </c>
      <c r="O20" s="65" t="s">
        <v>88</v>
      </c>
      <c r="P20" s="65" t="s">
        <v>93</v>
      </c>
    </row>
    <row r="21" spans="1:16" ht="12.75" customHeight="1" thickBot="1">
      <c r="A21" s="20" t="str">
        <f t="shared" si="0"/>
        <v> AAPS 130.311 </v>
      </c>
      <c r="B21" s="6" t="str">
        <f t="shared" si="1"/>
        <v>I</v>
      </c>
      <c r="C21" s="20">
        <f t="shared" si="2"/>
        <v>49540.3678</v>
      </c>
      <c r="D21" s="25" t="str">
        <f t="shared" si="3"/>
        <v>vis</v>
      </c>
      <c r="E21" s="62">
        <f>VLOOKUP(C21,Active!C$21:E$973,3,FALSE)</f>
        <v>6096.8626150177197</v>
      </c>
      <c r="F21" s="6" t="s">
        <v>63</v>
      </c>
      <c r="G21" s="25" t="str">
        <f t="shared" si="4"/>
        <v>49540.3678</v>
      </c>
      <c r="H21" s="20">
        <f t="shared" si="5"/>
        <v>-2263</v>
      </c>
      <c r="I21" s="63" t="s">
        <v>100</v>
      </c>
      <c r="J21" s="64" t="s">
        <v>101</v>
      </c>
      <c r="K21" s="63">
        <v>-2263</v>
      </c>
      <c r="L21" s="63" t="s">
        <v>102</v>
      </c>
      <c r="M21" s="64" t="s">
        <v>68</v>
      </c>
      <c r="N21" s="64" t="s">
        <v>69</v>
      </c>
      <c r="O21" s="65" t="s">
        <v>88</v>
      </c>
      <c r="P21" s="65" t="s">
        <v>93</v>
      </c>
    </row>
    <row r="22" spans="1:16" ht="12.75" customHeight="1" thickBot="1">
      <c r="A22" s="20" t="str">
        <f t="shared" si="0"/>
        <v> AAPS 130.311 </v>
      </c>
      <c r="B22" s="6" t="str">
        <f t="shared" si="1"/>
        <v>I</v>
      </c>
      <c r="C22" s="20">
        <f t="shared" si="2"/>
        <v>49600.383099999999</v>
      </c>
      <c r="D22" s="25" t="str">
        <f t="shared" si="3"/>
        <v>vis</v>
      </c>
      <c r="E22" s="62">
        <f>VLOOKUP(C22,Active!C$21:E$973,3,FALSE)</f>
        <v>6133.8651502783105</v>
      </c>
      <c r="F22" s="6" t="s">
        <v>63</v>
      </c>
      <c r="G22" s="25" t="str">
        <f t="shared" si="4"/>
        <v>49600.3831</v>
      </c>
      <c r="H22" s="20">
        <f t="shared" si="5"/>
        <v>-2226</v>
      </c>
      <c r="I22" s="63" t="s">
        <v>103</v>
      </c>
      <c r="J22" s="64" t="s">
        <v>104</v>
      </c>
      <c r="K22" s="63">
        <v>-2226</v>
      </c>
      <c r="L22" s="63" t="s">
        <v>105</v>
      </c>
      <c r="M22" s="64" t="s">
        <v>68</v>
      </c>
      <c r="N22" s="64" t="s">
        <v>69</v>
      </c>
      <c r="O22" s="65" t="s">
        <v>88</v>
      </c>
      <c r="P22" s="65" t="s">
        <v>93</v>
      </c>
    </row>
    <row r="23" spans="1:16" ht="12.75" customHeight="1" thickBot="1">
      <c r="A23" s="20" t="str">
        <f t="shared" si="0"/>
        <v>IBVS 5745 </v>
      </c>
      <c r="B23" s="6" t="str">
        <f t="shared" si="1"/>
        <v>I</v>
      </c>
      <c r="C23" s="20">
        <f t="shared" si="2"/>
        <v>53210.705499999996</v>
      </c>
      <c r="D23" s="25" t="str">
        <f t="shared" si="3"/>
        <v>vis</v>
      </c>
      <c r="E23" s="62">
        <f>VLOOKUP(C23,Active!C$21:E$973,3,FALSE)</f>
        <v>8359.815564724362</v>
      </c>
      <c r="F23" s="6" t="s">
        <v>63</v>
      </c>
      <c r="G23" s="25" t="str">
        <f t="shared" si="4"/>
        <v>53210.7055</v>
      </c>
      <c r="H23" s="20">
        <f t="shared" si="5"/>
        <v>0</v>
      </c>
      <c r="I23" s="63" t="s">
        <v>106</v>
      </c>
      <c r="J23" s="64" t="s">
        <v>107</v>
      </c>
      <c r="K23" s="63">
        <v>0</v>
      </c>
      <c r="L23" s="63" t="s">
        <v>108</v>
      </c>
      <c r="M23" s="64" t="s">
        <v>68</v>
      </c>
      <c r="N23" s="64" t="s">
        <v>69</v>
      </c>
      <c r="O23" s="65" t="s">
        <v>109</v>
      </c>
      <c r="P23" s="66" t="s">
        <v>110</v>
      </c>
    </row>
    <row r="24" spans="1:16" ht="12.75" customHeight="1" thickBot="1">
      <c r="A24" s="20" t="str">
        <f t="shared" si="0"/>
        <v>IBVS 6153 </v>
      </c>
      <c r="B24" s="6" t="str">
        <f t="shared" si="1"/>
        <v>I</v>
      </c>
      <c r="C24" s="20">
        <f t="shared" si="2"/>
        <v>53272.330199999997</v>
      </c>
      <c r="D24" s="25" t="str">
        <f t="shared" si="3"/>
        <v>vis</v>
      </c>
      <c r="E24" s="62">
        <f>VLOOKUP(C24,Active!C$21:E$973,3,FALSE)</f>
        <v>8397.8103782914586</v>
      </c>
      <c r="F24" s="6" t="s">
        <v>63</v>
      </c>
      <c r="G24" s="25" t="str">
        <f t="shared" si="4"/>
        <v>53272.3302</v>
      </c>
      <c r="H24" s="20">
        <f t="shared" si="5"/>
        <v>38</v>
      </c>
      <c r="I24" s="63" t="s">
        <v>111</v>
      </c>
      <c r="J24" s="64" t="s">
        <v>112</v>
      </c>
      <c r="K24" s="63">
        <v>38</v>
      </c>
      <c r="L24" s="63" t="s">
        <v>113</v>
      </c>
      <c r="M24" s="64" t="s">
        <v>114</v>
      </c>
      <c r="N24" s="64" t="s">
        <v>63</v>
      </c>
      <c r="O24" s="65" t="s">
        <v>115</v>
      </c>
      <c r="P24" s="66" t="s">
        <v>116</v>
      </c>
    </row>
    <row r="25" spans="1:16" ht="12.75" customHeight="1" thickBot="1">
      <c r="A25" s="20" t="str">
        <f t="shared" si="0"/>
        <v> JAAVSO 42;426 </v>
      </c>
      <c r="B25" s="6" t="str">
        <f t="shared" si="1"/>
        <v>I</v>
      </c>
      <c r="C25" s="20">
        <f t="shared" si="2"/>
        <v>56480.459300000002</v>
      </c>
      <c r="D25" s="25" t="str">
        <f t="shared" si="3"/>
        <v>vis</v>
      </c>
      <c r="E25" s="62">
        <f>VLOOKUP(C25,Active!C$21:E$973,3,FALSE)</f>
        <v>10375.787829762678</v>
      </c>
      <c r="F25" s="6" t="s">
        <v>63</v>
      </c>
      <c r="G25" s="25" t="str">
        <f t="shared" si="4"/>
        <v>56480.4593</v>
      </c>
      <c r="H25" s="20">
        <f t="shared" si="5"/>
        <v>2016</v>
      </c>
      <c r="I25" s="63" t="s">
        <v>117</v>
      </c>
      <c r="J25" s="64" t="s">
        <v>118</v>
      </c>
      <c r="K25" s="63">
        <v>2016</v>
      </c>
      <c r="L25" s="63" t="s">
        <v>119</v>
      </c>
      <c r="M25" s="64" t="s">
        <v>114</v>
      </c>
      <c r="N25" s="64" t="s">
        <v>58</v>
      </c>
      <c r="O25" s="65" t="s">
        <v>120</v>
      </c>
      <c r="P25" s="65" t="s">
        <v>121</v>
      </c>
    </row>
    <row r="26" spans="1:16">
      <c r="B26" s="6"/>
      <c r="F26" s="6"/>
    </row>
    <row r="27" spans="1:16">
      <c r="B27" s="6"/>
      <c r="F27" s="6"/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</sheetData>
  <phoneticPr fontId="7" type="noConversion"/>
  <hyperlinks>
    <hyperlink ref="A3" r:id="rId1"/>
    <hyperlink ref="P23" r:id="rId2" display="http://www.konkoly.hu/cgi-bin/IBVS?5745"/>
    <hyperlink ref="P24" r:id="rId3" display="http://www.konkoly.hu/cgi-bin/IBVS?615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2024-01-11T04:36:55Z</dcterms:modified>
</cp:coreProperties>
</file>