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2F2D5B-AB88-4972-AA81-92E84D016E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Q23" i="2" l="1"/>
  <c r="D9" i="2"/>
  <c r="C9" i="2"/>
  <c r="Q22" i="2"/>
  <c r="Q28" i="2"/>
  <c r="Q27" i="2"/>
  <c r="Q26" i="2"/>
  <c r="Q25" i="2"/>
  <c r="Q24" i="2"/>
  <c r="Q21" i="2"/>
  <c r="H17" i="3"/>
  <c r="B17" i="3"/>
  <c r="G17" i="3"/>
  <c r="C17" i="3"/>
  <c r="E17" i="3"/>
  <c r="D17" i="3"/>
  <c r="A17" i="3"/>
  <c r="H16" i="3"/>
  <c r="G16" i="3"/>
  <c r="D16" i="3"/>
  <c r="C16" i="3"/>
  <c r="E16" i="3"/>
  <c r="B16" i="3"/>
  <c r="A16" i="3"/>
  <c r="H15" i="3"/>
  <c r="G15" i="3"/>
  <c r="C15" i="3"/>
  <c r="E15" i="3"/>
  <c r="D15" i="3"/>
  <c r="B15" i="3"/>
  <c r="A15" i="3"/>
  <c r="H14" i="3"/>
  <c r="B14" i="3"/>
  <c r="G14" i="3"/>
  <c r="D14" i="3"/>
  <c r="C14" i="3"/>
  <c r="E14" i="3"/>
  <c r="A14" i="3"/>
  <c r="H13" i="3"/>
  <c r="B13" i="3"/>
  <c r="G13" i="3"/>
  <c r="C13" i="3"/>
  <c r="E13" i="3"/>
  <c r="D13" i="3"/>
  <c r="A13" i="3"/>
  <c r="H12" i="3"/>
  <c r="G12" i="3"/>
  <c r="D12" i="3"/>
  <c r="C12" i="3"/>
  <c r="E12" i="3"/>
  <c r="B12" i="3"/>
  <c r="A12" i="3"/>
  <c r="H11" i="3"/>
  <c r="G11" i="3"/>
  <c r="C11" i="3"/>
  <c r="E11" i="3"/>
  <c r="D11" i="3"/>
  <c r="B11" i="3"/>
  <c r="A11" i="3"/>
  <c r="C7" i="2"/>
  <c r="F16" i="2"/>
  <c r="F17" i="2" s="1"/>
  <c r="C17" i="2"/>
  <c r="E27" i="2"/>
  <c r="F27" i="2"/>
  <c r="G27" i="2"/>
  <c r="K27" i="2"/>
  <c r="E24" i="2"/>
  <c r="F24" i="2"/>
  <c r="G24" i="2"/>
  <c r="K24" i="2"/>
  <c r="E22" i="2"/>
  <c r="F22" i="2"/>
  <c r="G22" i="2"/>
  <c r="I22" i="2"/>
  <c r="E26" i="2"/>
  <c r="F26" i="2"/>
  <c r="G26" i="2"/>
  <c r="K26" i="2"/>
  <c r="E21" i="2"/>
  <c r="F21" i="2"/>
  <c r="G21" i="2"/>
  <c r="H21" i="2"/>
  <c r="E28" i="2"/>
  <c r="F28" i="2"/>
  <c r="G28" i="2"/>
  <c r="K28" i="2"/>
  <c r="E25" i="2"/>
  <c r="F25" i="2"/>
  <c r="G25" i="2"/>
  <c r="K25" i="2"/>
  <c r="E23" i="2"/>
  <c r="F23" i="2"/>
  <c r="G23" i="2"/>
  <c r="K23" i="2"/>
  <c r="C12" i="2"/>
  <c r="C11" i="2"/>
  <c r="O28" i="2" l="1"/>
  <c r="O25" i="2"/>
  <c r="O23" i="2"/>
  <c r="O24" i="2"/>
  <c r="C15" i="2"/>
  <c r="O26" i="2"/>
  <c r="O22" i="2"/>
  <c r="O27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<sst xmlns="http://schemas.openxmlformats.org/spreadsheetml/2006/main" count="134" uniqueCount="95">
  <si>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</si>
  <si>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</si>
  <si>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</si>
  <si>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</si>
  <si>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</si>
  <si>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</si>
  <si>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</si>
  <si>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</si>
  <si>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</si>
  <si>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</si>
  <si>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</si>
  <si>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</si>
  <si>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</si>
  <si>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</si>
  <si>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</si>
  <si>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</si>
  <si>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</si>
  <si>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</si>
  <si>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</si>
  <si>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</si>
  <si>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</si>
  <si>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</si>
  <si>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</si>
  <si>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</si>
  <si>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</si>
  <si>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</si>
  <si>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</si>
  <si>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</si>
  <si>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</si>
  <si>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</si>
  <si>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</si>
  <si>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</si>
  <si>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V1184 Aql / na</t>
  </si>
  <si>
    <t>IBVS 5945</t>
  </si>
  <si>
    <t>I</t>
  </si>
  <si>
    <t>EW/KE:</t>
  </si>
  <si>
    <t>Add cycle</t>
  </si>
  <si>
    <t>Old Cycle</t>
  </si>
  <si>
    <t>IBVS 5959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</si>
  <si>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</si>
  <si>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</si>
  <si>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</si>
  <si>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</si>
  <si>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</si>
  <si>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</si>
  <si>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</si>
  <si>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</si>
  <si>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</si>
  <si>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</si>
  <si>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</si>
  <si>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</si>
  <si>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2452086.38 </t>
  </si>
  <si>
    <t> 25.06.2001 21:07 </t>
  </si>
  <si>
    <t> 0.03 </t>
  </si>
  <si>
    <t>E </t>
  </si>
  <si>
    <t>?</t>
  </si>
  <si>
    <t> R.Diethelm </t>
  </si>
  <si>
    <t> BBS 125 </t>
  </si>
  <si>
    <t>2454675.4214 </t>
  </si>
  <si>
    <t> 27.07.2008 22:06 </t>
  </si>
  <si>
    <t> 0.0028 </t>
  </si>
  <si>
    <t>C </t>
  </si>
  <si>
    <t>-I</t>
  </si>
  <si>
    <t> F.Agerer </t>
  </si>
  <si>
    <t>BAVM 203 </t>
  </si>
  <si>
    <t>2455342.8369 </t>
  </si>
  <si>
    <t> 26.05.2010 08:05 </t>
  </si>
  <si>
    <t>3295.5</t>
  </si>
  <si>
    <t> 0.0020 </t>
  </si>
  <si>
    <t>IBVS 5945 </t>
  </si>
  <si>
    <t>2455359.5221 </t>
  </si>
  <si>
    <t> 12.06.2010 00:31 </t>
  </si>
  <si>
    <t>3325</t>
  </si>
  <si>
    <t> 0.0018 </t>
  </si>
  <si>
    <t>BAVM 214 </t>
  </si>
  <si>
    <t>2455374.5108 </t>
  </si>
  <si>
    <t> 27.06.2010 00:15 </t>
  </si>
  <si>
    <t>3351.5</t>
  </si>
  <si>
    <t> 0.0019 </t>
  </si>
  <si>
    <t>2455706.52215 </t>
  </si>
  <si>
    <t> 25.05.2011 00:31 </t>
  </si>
  <si>
    <t>3938.5</t>
  </si>
  <si>
    <t> 0.00198 </t>
  </si>
  <si>
    <t> M.Audejean </t>
  </si>
  <si>
    <t>OEJV 0160 </t>
  </si>
  <si>
    <t>2456496.67674 </t>
  </si>
  <si>
    <t> 23.07.2013 04:14 </t>
  </si>
  <si>
    <t>5335.5</t>
  </si>
  <si>
    <t> 0.00359 </t>
  </si>
  <si>
    <t> F.Mina </t>
  </si>
  <si>
    <t>II</t>
  </si>
  <si>
    <t>s5</t>
  </si>
  <si>
    <t>s6</t>
  </si>
  <si>
    <t>s7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</si>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</sst>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V1184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0.28280349999840837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B-49C7-B381-452F08C6F9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0.13884399999369634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B-49C7-B381-452F08C6F9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B-49C7-B381-452F08C6F9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0.11420150000049034</c:v>
                </c:pt>
                <c:pt idx="3">
                  <c:v>0.11344150000513764</c:v>
                </c:pt>
                <c:pt idx="4">
                  <c:v>0.11323499999707565</c:v>
                </c:pt>
                <c:pt idx="5">
                  <c:v>0.11334949999582022</c:v>
                </c:pt>
                <c:pt idx="6">
                  <c:v>0.11339049999514828</c:v>
                </c:pt>
                <c:pt idx="7">
                  <c:v>0.11500150000210851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4B-49C7-B381-452F08C6F9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4B-49C7-B381-452F08C6F9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4B-49C7-B381-452F08C6F9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4B-49C7-B381-452F08C6F9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0.11190400164781082</c:v>
                </c:pt>
                <c:pt idx="2">
                  <c:v>0.11332227986535304</c:v>
                </c:pt>
                <c:pt idx="3">
                  <c:v>0.11368788735780522</c:v>
                </c:pt>
                <c:pt idx="4">
                  <c:v>0.11369702754511651</c:v>
                </c:pt>
                <c:pt idx="5">
                  <c:v>0.11370523822185379</c:v>
                </c:pt>
                <c:pt idx="6">
                  <c:v>0.11388711245750585</c:v>
                </c:pt>
                <c:pt idx="7">
                  <c:v>0.11431995454814625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4B-49C7-B381-452F08C6F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68720"/>
        <c:axId val="1"/>
      </c:scatterChart>
      <c:valAx>
        <c:axId val="684068720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68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067669172932329"/>
          <c:y val="0.92397937099967764"/>
          <c:w val="0.610526315789473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V1184 Aql - O-C Diagr.</a:t>
            </a:r>
          </a:p>
        </c:rich>
      </c:tx>
      <c:layout>
        <c:manualLayout>
          <c:xMode val="edge"/>
          <c:yMode val="edge"/>
          <c:x val="0.3708713437847295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3994189017784567"/>
          <c:w val="0.8258270367443176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0.28280349999840837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99-43C9-9CCB-9E1C7ED354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0.13884399999369634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99-43C9-9CCB-9E1C7ED354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99-43C9-9CCB-9E1C7ED354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0.11420150000049034</c:v>
                </c:pt>
                <c:pt idx="3">
                  <c:v>0.11344150000513764</c:v>
                </c:pt>
                <c:pt idx="4">
                  <c:v>0.11323499999707565</c:v>
                </c:pt>
                <c:pt idx="5">
                  <c:v>0.11334949999582022</c:v>
                </c:pt>
                <c:pt idx="6">
                  <c:v>0.11339049999514828</c:v>
                </c:pt>
                <c:pt idx="7">
                  <c:v>0.11500150000210851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99-43C9-9CCB-9E1C7ED354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99-43C9-9CCB-9E1C7ED35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99-43C9-9CCB-9E1C7ED35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9.7000000000000003E-3</c:v>
                  </c:pt>
                  <c:pt idx="6">
                    <c:v>1E-4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99-43C9-9CCB-9E1C7ED35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25908</c:v>
                </c:pt>
                <c:pt idx="2">
                  <c:v>30485.5</c:v>
                </c:pt>
                <c:pt idx="3">
                  <c:v>31665.5</c:v>
                </c:pt>
                <c:pt idx="4">
                  <c:v>31695</c:v>
                </c:pt>
                <c:pt idx="5">
                  <c:v>31721.5</c:v>
                </c:pt>
                <c:pt idx="6">
                  <c:v>32308.5</c:v>
                </c:pt>
                <c:pt idx="7">
                  <c:v>33705.5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">
                  <c:v>0.11190400164781082</c:v>
                </c:pt>
                <c:pt idx="2">
                  <c:v>0.11332227986535304</c:v>
                </c:pt>
                <c:pt idx="3">
                  <c:v>0.11368788735780522</c:v>
                </c:pt>
                <c:pt idx="4">
                  <c:v>0.11369702754511651</c:v>
                </c:pt>
                <c:pt idx="5">
                  <c:v>0.11370523822185379</c:v>
                </c:pt>
                <c:pt idx="6">
                  <c:v>0.11388711245750585</c:v>
                </c:pt>
                <c:pt idx="7">
                  <c:v>0.11431995454814625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99-43C9-9CCB-9E1C7ED35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079520"/>
        <c:axId val="1"/>
      </c:scatterChart>
      <c:valAx>
        <c:axId val="684079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079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26758254317307"/>
          <c:y val="0.92419947506561673"/>
          <c:w val="0.60961055543732701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1009650</xdr:colOff>
      <xdr:row>0</xdr:row>
      <xdr:rowOff>0</xdr:rowOff>
    </xdr:from>
    <xdr:to>
      <xdr:col>17</xdr:col>
      <xdr:colOff>66675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BB35A03A-2962-09DC-A09F-581E10D9F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209550</xdr:colOff>
      <xdr:row>0</xdr:row>
      <xdr:rowOff>0</xdr:rowOff>
    </xdr:from>
    <xdr:to>
      <xdr:col>27</xdr:col>
      <xdr:colOff>381000</xdr:colOff>
      <xdr:row>19</xdr:row>
      <xdr:rowOff>9525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B9ADD969-E90B-B2CF-BD14-510BCAC49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32</v>
      </c>
    </row>
    <row r="2" spans="1:6">
      <c r="A2" t="s">
        <v>24</v>
      </c>
      <c r="B2" t="s">
        <v>35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37432.495000000003</v>
      </c>
      <c r="D4" s="9">
        <v>0.78980099999999998</v>
      </c>
    </row>
    <row r="5" spans="1:6" ht="13.5" thickTop="1">
      <c r="A5" s="11" t="s">
        <v>26</v>
      </c>
      <c r="B5" s="12"/>
      <c r="C5" s="13">
        <v>-9.5</v>
      </c>
      <c r="D5" s="12" t="s">
        <v>27</v>
      </c>
      <c r="E5" s="12"/>
    </row>
    <row r="6" spans="1:6">
      <c r="A6" s="5" t="s">
        <v>1</v>
      </c>
    </row>
    <row r="7" spans="1:6">
      <c r="A7" t="s">
        <v>2</v>
      </c>
      <c r="C7">
        <f>+C4</f>
        <v>37432.495000000003</v>
      </c>
    </row>
    <row r="8" spans="1:6">
      <c r="A8" t="s">
        <v>3</v>
      </c>
      <c r="C8">
        <v>0.56560699999999997</v>
      </c>
      <c r="D8" t="s">
        <v>94</v>
      </c>
    </row>
    <row r="9" spans="1:6">
      <c r="A9" s="26" t="s">
        <v>31</v>
      </c>
      <c r="B9" s="27">
        <v>23</v>
      </c>
      <c r="C9" s="24" t="str">
        <f>"F"&amp;B9</f>
        <v>F23</v>
      </c>
      <c r="D9" s="25" t="str">
        <f>"G"&amp;B9</f>
        <v>G23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0.10387674833047961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3.0983685801031423E-7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56496.393254799637</v>
      </c>
      <c r="E15" s="16" t="s">
        <v>36</v>
      </c>
      <c r="F15" s="13">
        <v>1</v>
      </c>
    </row>
    <row r="16" spans="1:6">
      <c r="A16" s="18" t="s">
        <v>4</v>
      </c>
      <c r="B16" s="12"/>
      <c r="C16" s="19">
        <f ca="1">+C8+C12</f>
        <v>0.56560730983685803</v>
      </c>
      <c r="E16" s="16" t="s">
        <v>28</v>
      </c>
      <c r="F16" s="17">
        <f ca="1">NOW()+15018.5+$C$5/24</f>
        <v>60320.734445023147</v>
      </c>
    </row>
    <row r="17" spans="1:17" ht="13.5" thickBot="1">
      <c r="A17" s="16" t="s">
        <v>25</v>
      </c>
      <c r="B17" s="12"/>
      <c r="C17" s="12">
        <f>COUNT(C21:C2191)</f>
        <v>8</v>
      </c>
      <c r="E17" s="16" t="s">
        <v>37</v>
      </c>
      <c r="F17" s="17">
        <f ca="1">ROUND(2*(F16-$C$7)/$C$8,0)/2+F15</f>
        <v>40467.5</v>
      </c>
    </row>
    <row r="18" spans="1:17" ht="14.25" thickTop="1" thickBot="1">
      <c r="A18" s="18" t="s">
        <v>5</v>
      </c>
      <c r="B18" s="12"/>
      <c r="C18" s="21">
        <f ca="1">+C15</f>
        <v>56496.393254799637</v>
      </c>
      <c r="D18" s="22">
        <f ca="1">+C16</f>
        <v>0.56560730983685803</v>
      </c>
      <c r="E18" s="16" t="s">
        <v>29</v>
      </c>
      <c r="F18" s="25">
        <f ca="1">ROUND(2*(F16-$C$15)/$C$16,0)/2+F15</f>
        <v>6762.5</v>
      </c>
    </row>
    <row r="19" spans="1:17" ht="13.5" thickTop="1">
      <c r="E19" s="16" t="s">
        <v>30</v>
      </c>
      <c r="F19" s="20">
        <f ca="1">+$C$15+$C$16*F18-15018.5-$C$5/24</f>
        <v>45303.208520904729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42</v>
      </c>
      <c r="L20" s="7" t="s">
        <v>91</v>
      </c>
      <c r="M20" s="7" t="s">
        <v>92</v>
      </c>
      <c r="N20" s="7" t="s">
        <v>93</v>
      </c>
      <c r="O20" s="7" t="s">
        <v>23</v>
      </c>
      <c r="P20" s="6" t="s">
        <v>22</v>
      </c>
      <c r="Q20" s="4" t="s">
        <v>15</v>
      </c>
    </row>
    <row r="21" spans="1:17">
      <c r="A21" s="28" t="s">
        <v>12</v>
      </c>
      <c r="B21" s="28"/>
      <c r="C21" s="29">
        <v>37432.495000000003</v>
      </c>
      <c r="D21" s="29" t="s">
        <v>14</v>
      </c>
      <c r="E21">
        <f t="shared" ref="E21:E28" si="0">+(C21-C$7)/C$8</f>
        <v>0</v>
      </c>
      <c r="F21">
        <f>ROUND(2*E21,0)/2-0.5</f>
        <v>-0.5</v>
      </c>
      <c r="G21">
        <f t="shared" ref="G21:G28" si="1">+C21-(C$7+F21*C$8)</f>
        <v>0.28280349999840837</v>
      </c>
      <c r="H21">
        <f>+G21</f>
        <v>0.28280349999840837</v>
      </c>
      <c r="Q21" s="2">
        <f t="shared" ref="Q21:Q28" si="2">+C21-15018.5</f>
        <v>22413.995000000003</v>
      </c>
    </row>
    <row r="22" spans="1:17">
      <c r="A22" s="25" t="s">
        <v>57</v>
      </c>
      <c r="B22" s="3" t="s">
        <v>34</v>
      </c>
      <c r="C22" s="10">
        <v>52086.38</v>
      </c>
      <c r="D22" s="10" t="s">
        <v>50</v>
      </c>
      <c r="E22">
        <f t="shared" si="0"/>
        <v>25908.245477867134</v>
      </c>
      <c r="F22">
        <f t="shared" ref="F22:F28" si="3">ROUND(2*E22,0)/2</f>
        <v>25908</v>
      </c>
      <c r="G22">
        <f t="shared" si="1"/>
        <v>0.13884399999369634</v>
      </c>
      <c r="I22">
        <f>+G22</f>
        <v>0.13884399999369634</v>
      </c>
      <c r="O22">
        <f t="shared" ref="O22:O28" ca="1" si="4">+C$11+C$12*$F22</f>
        <v>0.11190400164781082</v>
      </c>
      <c r="Q22" s="2">
        <f t="shared" si="2"/>
        <v>37067.879999999997</v>
      </c>
    </row>
    <row r="23" spans="1:17">
      <c r="A23" s="25" t="s">
        <v>64</v>
      </c>
      <c r="B23" s="3" t="s">
        <v>90</v>
      </c>
      <c r="C23" s="10">
        <v>54675.421399999999</v>
      </c>
      <c r="D23" s="10" t="s">
        <v>50</v>
      </c>
      <c r="E23">
        <f t="shared" si="0"/>
        <v>30485.701909629828</v>
      </c>
      <c r="F23">
        <f t="shared" si="3"/>
        <v>30485.5</v>
      </c>
      <c r="G23">
        <f t="shared" si="1"/>
        <v>0.11420150000049034</v>
      </c>
      <c r="K23">
        <f t="shared" ref="K23:K28" si="5">+G23</f>
        <v>0.11420150000049034</v>
      </c>
      <c r="O23">
        <f t="shared" ca="1" si="4"/>
        <v>0.11332227986535304</v>
      </c>
      <c r="Q23" s="2">
        <f t="shared" si="2"/>
        <v>39656.921399999999</v>
      </c>
    </row>
    <row r="24" spans="1:17">
      <c r="A24" s="30" t="s">
        <v>33</v>
      </c>
      <c r="B24" s="31" t="s">
        <v>34</v>
      </c>
      <c r="C24" s="32">
        <v>55342.836900000002</v>
      </c>
      <c r="D24" s="32">
        <v>4.0000000000000002E-4</v>
      </c>
      <c r="E24">
        <f t="shared" si="0"/>
        <v>31665.700565940664</v>
      </c>
      <c r="F24">
        <f t="shared" si="3"/>
        <v>31665.5</v>
      </c>
      <c r="G24">
        <f t="shared" si="1"/>
        <v>0.11344150000513764</v>
      </c>
      <c r="K24">
        <f t="shared" si="5"/>
        <v>0.11344150000513764</v>
      </c>
      <c r="O24">
        <f t="shared" ca="1" si="4"/>
        <v>0.11368788735780522</v>
      </c>
      <c r="Q24" s="2">
        <f t="shared" si="2"/>
        <v>40324.336900000002</v>
      </c>
    </row>
    <row r="25" spans="1:17">
      <c r="A25" s="33" t="s">
        <v>38</v>
      </c>
      <c r="B25" s="34" t="s">
        <v>34</v>
      </c>
      <c r="C25" s="33">
        <v>55359.522100000002</v>
      </c>
      <c r="D25" s="33">
        <v>2.9999999999999997E-4</v>
      </c>
      <c r="E25">
        <f t="shared" si="0"/>
        <v>31695.200200846171</v>
      </c>
      <c r="F25">
        <f t="shared" si="3"/>
        <v>31695</v>
      </c>
      <c r="G25">
        <f t="shared" si="1"/>
        <v>0.11323499999707565</v>
      </c>
      <c r="K25">
        <f t="shared" si="5"/>
        <v>0.11323499999707565</v>
      </c>
      <c r="O25">
        <f t="shared" ca="1" si="4"/>
        <v>0.11369702754511651</v>
      </c>
      <c r="Q25" s="2">
        <f t="shared" si="2"/>
        <v>40341.022100000002</v>
      </c>
    </row>
    <row r="26" spans="1:17">
      <c r="A26" s="33" t="s">
        <v>38</v>
      </c>
      <c r="B26" s="34" t="s">
        <v>34</v>
      </c>
      <c r="C26" s="33">
        <v>55374.510799999996</v>
      </c>
      <c r="D26" s="33">
        <v>9.7000000000000003E-3</v>
      </c>
      <c r="E26">
        <f t="shared" si="0"/>
        <v>31721.700403283543</v>
      </c>
      <c r="F26">
        <f t="shared" si="3"/>
        <v>31721.5</v>
      </c>
      <c r="G26">
        <f t="shared" si="1"/>
        <v>0.11334949999582022</v>
      </c>
      <c r="K26">
        <f t="shared" si="5"/>
        <v>0.11334949999582022</v>
      </c>
      <c r="O26">
        <f t="shared" ca="1" si="4"/>
        <v>0.11370523822185379</v>
      </c>
      <c r="Q26" s="2">
        <f t="shared" si="2"/>
        <v>40356.010799999996</v>
      </c>
    </row>
    <row r="27" spans="1:17">
      <c r="A27" s="35" t="s">
        <v>39</v>
      </c>
      <c r="B27" s="36" t="s">
        <v>34</v>
      </c>
      <c r="C27" s="37">
        <v>55706.522149999997</v>
      </c>
      <c r="D27" s="37">
        <v>1E-4</v>
      </c>
      <c r="E27">
        <f t="shared" si="0"/>
        <v>32308.700475772039</v>
      </c>
      <c r="F27">
        <f t="shared" si="3"/>
        <v>32308.5</v>
      </c>
      <c r="G27">
        <f t="shared" si="1"/>
        <v>0.11339049999514828</v>
      </c>
      <c r="K27">
        <f t="shared" si="5"/>
        <v>0.11339049999514828</v>
      </c>
      <c r="O27">
        <f t="shared" ca="1" si="4"/>
        <v>0.11388711245750585</v>
      </c>
      <c r="Q27" s="2">
        <f t="shared" si="2"/>
        <v>40688.022149999997</v>
      </c>
    </row>
    <row r="28" spans="1:17">
      <c r="A28" s="35" t="s">
        <v>39</v>
      </c>
      <c r="B28" s="36" t="s">
        <v>34</v>
      </c>
      <c r="C28" s="37">
        <v>56496.676740000003</v>
      </c>
      <c r="D28" s="37">
        <v>4.0000000000000002E-4</v>
      </c>
      <c r="E28">
        <f t="shared" si="0"/>
        <v>33705.703324039489</v>
      </c>
      <c r="F28">
        <f t="shared" si="3"/>
        <v>33705.5</v>
      </c>
      <c r="G28">
        <f t="shared" si="1"/>
        <v>0.11500150000210851</v>
      </c>
      <c r="K28">
        <f t="shared" si="5"/>
        <v>0.11500150000210851</v>
      </c>
      <c r="O28">
        <f t="shared" ca="1" si="4"/>
        <v>0.11431995454814625</v>
      </c>
      <c r="Q28" s="2">
        <f t="shared" si="2"/>
        <v>41478.176740000003</v>
      </c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1"/>
  <sheetViews>
    <sheetView workbookViewId="0">
      <selection activeCell="A11" sqref="A11:D12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8" t="s">
        <v>40</v>
      </c>
      <c r="I1" s="39" t="s">
        <v>41</v>
      </c>
      <c r="J1" s="40" t="s">
        <v>42</v>
      </c>
    </row>
    <row r="2" spans="1:16">
      <c r="I2" s="41" t="s">
        <v>43</v>
      </c>
      <c r="J2" s="42" t="s">
        <v>44</v>
      </c>
    </row>
    <row r="3" spans="1:16">
      <c r="A3" s="43" t="s">
        <v>45</v>
      </c>
      <c r="I3" s="41" t="s">
        <v>46</v>
      </c>
      <c r="J3" s="42" t="s">
        <v>47</v>
      </c>
    </row>
    <row r="4" spans="1:16">
      <c r="I4" s="41" t="s">
        <v>48</v>
      </c>
      <c r="J4" s="42" t="s">
        <v>47</v>
      </c>
    </row>
    <row r="5" spans="1:16" ht="13.5" thickBot="1">
      <c r="I5" s="44" t="s">
        <v>49</v>
      </c>
      <c r="J5" s="45" t="s">
        <v>50</v>
      </c>
    </row>
    <row r="10" spans="1:16" ht="13.5" thickBot="1"/>
    <row r="11" spans="1:16" ht="12.75" customHeight="1" thickBot="1">
      <c r="A11" s="10" t="str">
        <f t="shared" ref="A11:A17" si="0">P11</f>
        <v> BBS 125 </v>
      </c>
      <c r="B11" s="3" t="str">
        <f t="shared" ref="B11:B17" si="1">IF(H11=INT(H11),"I","II")</f>
        <v>I</v>
      </c>
      <c r="C11" s="10">
        <f t="shared" ref="C11:C17" si="2">1*G11</f>
        <v>52086.38</v>
      </c>
      <c r="D11" s="12" t="str">
        <f t="shared" ref="D11:D17" si="3">VLOOKUP(F11,I$1:J$5,2,FALSE)</f>
        <v>vis</v>
      </c>
      <c r="E11" s="46" t="e">
        <f>VLOOKUP(C11,#REF!,3,FALSE)</f>
        <v>#REF!</v>
      </c>
      <c r="F11" s="3" t="s">
        <v>49</v>
      </c>
      <c r="G11" s="12" t="str">
        <f t="shared" ref="G11:G17" si="4">MID(I11,3,LEN(I11)-3)</f>
        <v>52086.38</v>
      </c>
      <c r="H11" s="10">
        <f t="shared" ref="H11:H17" si="5">1*K11</f>
        <v>-2462</v>
      </c>
      <c r="I11" s="47" t="s">
        <v>51</v>
      </c>
      <c r="J11" s="48" t="s">
        <v>52</v>
      </c>
      <c r="K11" s="47">
        <v>-2462</v>
      </c>
      <c r="L11" s="47" t="s">
        <v>53</v>
      </c>
      <c r="M11" s="48" t="s">
        <v>54</v>
      </c>
      <c r="N11" s="48" t="s">
        <v>55</v>
      </c>
      <c r="O11" s="49" t="s">
        <v>56</v>
      </c>
      <c r="P11" s="49" t="s">
        <v>57</v>
      </c>
    </row>
    <row r="12" spans="1:16" ht="12.75" customHeight="1" thickBot="1">
      <c r="A12" s="10" t="str">
        <f t="shared" si="0"/>
        <v>BAVM 203 </v>
      </c>
      <c r="B12" s="3" t="str">
        <f t="shared" si="1"/>
        <v>II</v>
      </c>
      <c r="C12" s="10">
        <f t="shared" si="2"/>
        <v>54675.421399999999</v>
      </c>
      <c r="D12" s="12" t="str">
        <f t="shared" si="3"/>
        <v>vis</v>
      </c>
      <c r="E12" s="46" t="e">
        <f>VLOOKUP(C12,#REF!,3,FALSE)</f>
        <v>#REF!</v>
      </c>
      <c r="F12" s="3" t="s">
        <v>49</v>
      </c>
      <c r="G12" s="12" t="str">
        <f t="shared" si="4"/>
        <v>54675.4214</v>
      </c>
      <c r="H12" s="10">
        <f t="shared" si="5"/>
        <v>2115.5</v>
      </c>
      <c r="I12" s="47" t="s">
        <v>58</v>
      </c>
      <c r="J12" s="48" t="s">
        <v>59</v>
      </c>
      <c r="K12" s="47">
        <v>2115.5</v>
      </c>
      <c r="L12" s="47" t="s">
        <v>60</v>
      </c>
      <c r="M12" s="48" t="s">
        <v>61</v>
      </c>
      <c r="N12" s="48" t="s">
        <v>62</v>
      </c>
      <c r="O12" s="49" t="s">
        <v>63</v>
      </c>
      <c r="P12" s="50" t="s">
        <v>64</v>
      </c>
    </row>
    <row r="13" spans="1:16" ht="12.75" customHeight="1" thickBot="1">
      <c r="A13" s="10" t="str">
        <f t="shared" si="0"/>
        <v>IBVS 5945 </v>
      </c>
      <c r="B13" s="3" t="str">
        <f t="shared" si="1"/>
        <v>II</v>
      </c>
      <c r="C13" s="10">
        <f t="shared" si="2"/>
        <v>55342.836900000002</v>
      </c>
      <c r="D13" s="12" t="str">
        <f t="shared" si="3"/>
        <v>vis</v>
      </c>
      <c r="E13" s="46" t="e">
        <f>VLOOKUP(C13,#REF!,3,FALSE)</f>
        <v>#REF!</v>
      </c>
      <c r="F13" s="3" t="s">
        <v>49</v>
      </c>
      <c r="G13" s="12" t="str">
        <f t="shared" si="4"/>
        <v>55342.8369</v>
      </c>
      <c r="H13" s="10">
        <f t="shared" si="5"/>
        <v>3295.5</v>
      </c>
      <c r="I13" s="47" t="s">
        <v>65</v>
      </c>
      <c r="J13" s="48" t="s">
        <v>66</v>
      </c>
      <c r="K13" s="47" t="s">
        <v>67</v>
      </c>
      <c r="L13" s="47" t="s">
        <v>68</v>
      </c>
      <c r="M13" s="48" t="s">
        <v>61</v>
      </c>
      <c r="N13" s="48" t="s">
        <v>49</v>
      </c>
      <c r="O13" s="49" t="s">
        <v>56</v>
      </c>
      <c r="P13" s="50" t="s">
        <v>69</v>
      </c>
    </row>
    <row r="14" spans="1:16" ht="12.75" customHeight="1" thickBot="1">
      <c r="A14" s="10" t="str">
        <f t="shared" si="0"/>
        <v>BAVM 214 </v>
      </c>
      <c r="B14" s="3" t="str">
        <f t="shared" si="1"/>
        <v>I</v>
      </c>
      <c r="C14" s="10">
        <f t="shared" si="2"/>
        <v>55359.522100000002</v>
      </c>
      <c r="D14" s="12" t="str">
        <f t="shared" si="3"/>
        <v>vis</v>
      </c>
      <c r="E14" s="46" t="e">
        <f>VLOOKUP(C14,#REF!,3,FALSE)</f>
        <v>#REF!</v>
      </c>
      <c r="F14" s="3" t="s">
        <v>49</v>
      </c>
      <c r="G14" s="12" t="str">
        <f t="shared" si="4"/>
        <v>55359.5221</v>
      </c>
      <c r="H14" s="10">
        <f t="shared" si="5"/>
        <v>3325</v>
      </c>
      <c r="I14" s="47" t="s">
        <v>70</v>
      </c>
      <c r="J14" s="48" t="s">
        <v>71</v>
      </c>
      <c r="K14" s="47" t="s">
        <v>72</v>
      </c>
      <c r="L14" s="47" t="s">
        <v>73</v>
      </c>
      <c r="M14" s="48" t="s">
        <v>61</v>
      </c>
      <c r="N14" s="48" t="s">
        <v>62</v>
      </c>
      <c r="O14" s="49" t="s">
        <v>63</v>
      </c>
      <c r="P14" s="50" t="s">
        <v>74</v>
      </c>
    </row>
    <row r="15" spans="1:16" ht="12.75" customHeight="1" thickBot="1">
      <c r="A15" s="10" t="str">
        <f t="shared" si="0"/>
        <v>BAVM 214 </v>
      </c>
      <c r="B15" s="3" t="str">
        <f t="shared" si="1"/>
        <v>II</v>
      </c>
      <c r="C15" s="10">
        <f t="shared" si="2"/>
        <v>55374.510799999996</v>
      </c>
      <c r="D15" s="12" t="str">
        <f t="shared" si="3"/>
        <v>vis</v>
      </c>
      <c r="E15" s="46" t="e">
        <f>VLOOKUP(C15,#REF!,3,FALSE)</f>
        <v>#REF!</v>
      </c>
      <c r="F15" s="3" t="s">
        <v>49</v>
      </c>
      <c r="G15" s="12" t="str">
        <f t="shared" si="4"/>
        <v>55374.5108</v>
      </c>
      <c r="H15" s="10">
        <f t="shared" si="5"/>
        <v>3351.5</v>
      </c>
      <c r="I15" s="47" t="s">
        <v>75</v>
      </c>
      <c r="J15" s="48" t="s">
        <v>76</v>
      </c>
      <c r="K15" s="47" t="s">
        <v>77</v>
      </c>
      <c r="L15" s="47" t="s">
        <v>78</v>
      </c>
      <c r="M15" s="48" t="s">
        <v>61</v>
      </c>
      <c r="N15" s="48" t="s">
        <v>62</v>
      </c>
      <c r="O15" s="49" t="s">
        <v>63</v>
      </c>
      <c r="P15" s="50" t="s">
        <v>74</v>
      </c>
    </row>
    <row r="16" spans="1:16" ht="12.75" customHeight="1" thickBot="1">
      <c r="A16" s="10" t="str">
        <f t="shared" si="0"/>
        <v>OEJV 0160 </v>
      </c>
      <c r="B16" s="3" t="str">
        <f t="shared" si="1"/>
        <v>II</v>
      </c>
      <c r="C16" s="10">
        <f t="shared" si="2"/>
        <v>55706.522149999997</v>
      </c>
      <c r="D16" s="12" t="str">
        <f t="shared" si="3"/>
        <v>vis</v>
      </c>
      <c r="E16" s="46" t="e">
        <f>VLOOKUP(C16,#REF!,3,FALSE)</f>
        <v>#REF!</v>
      </c>
      <c r="F16" s="3" t="s">
        <v>49</v>
      </c>
      <c r="G16" s="12" t="str">
        <f t="shared" si="4"/>
        <v>55706.52215</v>
      </c>
      <c r="H16" s="10">
        <f t="shared" si="5"/>
        <v>3938.5</v>
      </c>
      <c r="I16" s="47" t="s">
        <v>79</v>
      </c>
      <c r="J16" s="48" t="s">
        <v>80</v>
      </c>
      <c r="K16" s="47" t="s">
        <v>81</v>
      </c>
      <c r="L16" s="47" t="s">
        <v>82</v>
      </c>
      <c r="M16" s="48" t="s">
        <v>61</v>
      </c>
      <c r="N16" s="48" t="s">
        <v>41</v>
      </c>
      <c r="O16" s="49" t="s">
        <v>83</v>
      </c>
      <c r="P16" s="50" t="s">
        <v>84</v>
      </c>
    </row>
    <row r="17" spans="1:16" ht="12.75" customHeight="1" thickBot="1">
      <c r="A17" s="10" t="str">
        <f t="shared" si="0"/>
        <v>OEJV 0160 </v>
      </c>
      <c r="B17" s="3" t="str">
        <f t="shared" si="1"/>
        <v>II</v>
      </c>
      <c r="C17" s="10">
        <f t="shared" si="2"/>
        <v>56496.676740000003</v>
      </c>
      <c r="D17" s="12" t="str">
        <f t="shared" si="3"/>
        <v>vis</v>
      </c>
      <c r="E17" s="46" t="e">
        <f>VLOOKUP(C17,#REF!,3,FALSE)</f>
        <v>#REF!</v>
      </c>
      <c r="F17" s="3" t="s">
        <v>49</v>
      </c>
      <c r="G17" s="12" t="str">
        <f t="shared" si="4"/>
        <v>56496.67674</v>
      </c>
      <c r="H17" s="10">
        <f t="shared" si="5"/>
        <v>5335.5</v>
      </c>
      <c r="I17" s="47" t="s">
        <v>85</v>
      </c>
      <c r="J17" s="48" t="s">
        <v>86</v>
      </c>
      <c r="K17" s="47" t="s">
        <v>87</v>
      </c>
      <c r="L17" s="47" t="s">
        <v>88</v>
      </c>
      <c r="M17" s="48" t="s">
        <v>61</v>
      </c>
      <c r="N17" s="48" t="s">
        <v>41</v>
      </c>
      <c r="O17" s="49" t="s">
        <v>89</v>
      </c>
      <c r="P17" s="50" t="s">
        <v>84</v>
      </c>
    </row>
    <row r="18" spans="1:16">
      <c r="B18" s="3"/>
      <c r="F18" s="3"/>
    </row>
    <row r="19" spans="1:16">
      <c r="B19" s="3"/>
      <c r="F19" s="3"/>
    </row>
    <row r="20" spans="1:16">
      <c r="B20" s="3"/>
      <c r="F20" s="3"/>
    </row>
    <row r="21" spans="1:16">
      <c r="B21" s="3"/>
      <c r="F21" s="3"/>
    </row>
    <row r="22" spans="1:16">
      <c r="B22" s="3"/>
      <c r="F22" s="3"/>
    </row>
    <row r="23" spans="1:16">
      <c r="B23" s="3"/>
      <c r="F23" s="3"/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</sheetData>
  <phoneticPr fontId="7" type="noConversion"/>
  <hyperlinks>
    <hyperlink ref="A3" r:id="rId1"/>
    <hyperlink ref="P12" r:id="rId2" display="http://www.bav-astro.de/sfs/BAVM_link.php?BAVMnr=203"/>
    <hyperlink ref="P13" r:id="rId3" display="http://www.konkoly.hu/cgi-bin/IBVS?5945"/>
    <hyperlink ref="P14" r:id="rId4" display="http://www.bav-astro.de/sfs/BAVM_link.php?BAVMnr=214"/>
    <hyperlink ref="P15" r:id="rId5" display="http://www.bav-astro.de/sfs/BAVM_link.php?BAVMnr=214"/>
    <hyperlink ref="P16" r:id="rId6" display="http://var.astro.cz/oejv/issues/oejv0160.pdf"/>
    <hyperlink ref="P17" r:id="rId7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2024-01-11T04:37:36Z</dcterms:modified>
</cp:coreProperties>
</file>