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A161D55-C6BD-4036-B005-CEA6503E3D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K23" i="1"/>
  <c r="Q22" i="1"/>
  <c r="Q23" i="1"/>
  <c r="H12" i="2"/>
  <c r="B12" i="2"/>
  <c r="G12" i="2"/>
  <c r="C12" i="2"/>
  <c r="E12" i="2"/>
  <c r="D12" i="2"/>
  <c r="A12" i="2"/>
  <c r="H11" i="2"/>
  <c r="G11" i="2"/>
  <c r="D11" i="2"/>
  <c r="C11" i="2"/>
  <c r="E11" i="2"/>
  <c r="B11" i="2"/>
  <c r="A11" i="2"/>
  <c r="D9" i="1"/>
  <c r="E21" i="1"/>
  <c r="F21" i="1"/>
  <c r="R21" i="1"/>
  <c r="I21" i="1"/>
  <c r="E9" i="1"/>
  <c r="A21" i="1"/>
  <c r="F16" i="1"/>
  <c r="C17" i="1"/>
  <c r="Q21" i="1"/>
  <c r="C12" i="1"/>
  <c r="C11" i="1"/>
  <c r="O21" i="1" l="1"/>
  <c r="O22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<sst xmlns="http://schemas.openxmlformats.org/spreadsheetml/2006/main" count="85" uniqueCount="69">
  <si>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</si>
  <si>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</si>
  <si>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</si>
  <si>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</si>
  <si>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</si>
  <si>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</si>
  <si>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</si>
  <si>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</si>
  <si>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</si>
  <si>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</si>
  <si>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</si>
  <si>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</si>
  <si>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</si>
  <si>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</si>
  <si>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</si>
  <si>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</si>
  <si>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</si>
  <si>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</si>
  <si>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</si>
  <si>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</si>
  <si>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</si>
  <si>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</si>
  <si>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</si>
  <si>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</si>
  <si>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</si>
  <si>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</si>
  <si>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</si>
  <si>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</si>
  <si>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</si>
  <si>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</si>
  <si>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</si>
  <si>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</si>
  <si>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</si>
  <si>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</si>
  <si>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</si>
  <si>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</si>
  <si>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</si>
  <si>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</si>
  <si>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</si>
  <si>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</si>
  <si>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</si>
  <si>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</si>
  <si>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</si>
  <si>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</si>
  <si>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</si>
  <si>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</si>
  <si>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</si>
  <si>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</si>
  <si>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V1197 Aql</t>
  </si>
  <si>
    <t>V1197 Aql / GSC 0463-1153</t>
  </si>
  <si>
    <t>EA</t>
  </si>
  <si>
    <t>Kreiner</t>
  </si>
  <si>
    <t>G0463-1153</t>
  </si>
  <si>
    <t>2452085.485 </t>
  </si>
  <si>
    <t> 24.06.2001 23:38 </t>
  </si>
  <si>
    <t> 0.006 </t>
  </si>
  <si>
    <t>E </t>
  </si>
  <si>
    <t>?</t>
  </si>
  <si>
    <t> R.Diethelm </t>
  </si>
  <si>
    <t> BBS 125 </t>
  </si>
  <si>
    <t>2454707.3784 </t>
  </si>
  <si>
    <t> 28.08.2008 21:04 </t>
  </si>
  <si>
    <t> 0.0042 </t>
  </si>
  <si>
    <t>C </t>
  </si>
  <si>
    <t>-I</t>
  </si>
  <si>
    <t> F.Agerer </t>
  </si>
  <si>
    <t>BAVM 203 </t>
  </si>
  <si>
    <t>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</si>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</sst>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15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V1197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D0-4B14-991B-418BC6142A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2.6522899999690708E-2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0-4B14-991B-418BC6142A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0-4B14-991B-418BC6142A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2.6004100000136532E-2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D0-4B14-991B-418BC6142A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D0-4B14-991B-418BC6142A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D0-4B14-991B-418BC6142A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D0-4B14-991B-418BC6142A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2.644070100119196E-2</c:v>
                </c:pt>
                <c:pt idx="1">
                  <c:v>2.6522899999690708E-2</c:v>
                </c:pt>
                <c:pt idx="2">
                  <c:v>2.6004100000136532E-2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D0-4B14-991B-418BC6142AD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-443</c:v>
                </c:pt>
                <c:pt idx="2">
                  <c:v>2353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D0-4B14-991B-418BC614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45824"/>
        <c:axId val="1"/>
      </c:scatterChart>
      <c:valAx>
        <c:axId val="69714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4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6D7B2B-9FCD-118C-54DE-8ED1FFB2D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49</v>
      </c>
      <c r="F1" s="54" t="s">
        <v>48</v>
      </c>
      <c r="G1" s="31"/>
      <c r="H1" s="32"/>
      <c r="I1" s="33" t="s">
        <v>52</v>
      </c>
      <c r="J1" s="34"/>
      <c r="K1" s="35"/>
      <c r="L1" s="36"/>
      <c r="M1" s="37">
        <v>52500.873</v>
      </c>
      <c r="N1" s="37">
        <v>0.93773030000000002</v>
      </c>
      <c r="O1" s="40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36</v>
      </c>
      <c r="D4" s="28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52500.873</v>
      </c>
      <c r="D7" s="29" t="s">
        <v>51</v>
      </c>
    </row>
    <row r="8" spans="1:15" x14ac:dyDescent="0.2">
      <c r="A8" t="s">
        <v>3</v>
      </c>
      <c r="C8" s="55">
        <v>0.93773030000000002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2.644070100119196E-2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-1.855507866788898E-7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54707.378400000001</v>
      </c>
      <c r="E15" s="14" t="s">
        <v>33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0.93773011444921339</v>
      </c>
      <c r="E16" s="14" t="s">
        <v>30</v>
      </c>
      <c r="F16" s="39">
        <f ca="1">NOW()+15018.5+$C$5/24</f>
        <v>60320.734851620371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34</v>
      </c>
      <c r="F17" s="15">
        <f ca="1">ROUND(2*(F16-$C$7)/$C$8,0)/2+F15</f>
        <v>8340</v>
      </c>
    </row>
    <row r="18" spans="1:18" ht="14.25" thickTop="1" thickBot="1" x14ac:dyDescent="0.25">
      <c r="A18" s="16" t="s">
        <v>5</v>
      </c>
      <c r="B18" s="10"/>
      <c r="C18" s="19">
        <f ca="1">+C15</f>
        <v>54707.378400000001</v>
      </c>
      <c r="D18" s="20">
        <f ca="1">+C16</f>
        <v>0.93773011444921339</v>
      </c>
      <c r="E18" s="14" t="s">
        <v>35</v>
      </c>
      <c r="F18" s="23">
        <f ca="1">ROUND(2*(F16-$C$15)/$C$16,0)/2+F15</f>
        <v>5987</v>
      </c>
    </row>
    <row r="19" spans="1:18" ht="13.5" thickTop="1" x14ac:dyDescent="0.2">
      <c r="E19" s="14" t="s">
        <v>31</v>
      </c>
      <c r="F19" s="18">
        <f ca="1">+$C$15+$C$16*F18-15018.5-$C$5/24</f>
        <v>45303.464428540778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68</v>
      </c>
    </row>
    <row r="21" spans="1:18" x14ac:dyDescent="0.2">
      <c r="A21" t="str">
        <f>D7</f>
        <v>Kreiner</v>
      </c>
      <c r="C21" s="8">
        <v>52500.873</v>
      </c>
      <c r="D21" s="8" t="s">
        <v>13</v>
      </c>
      <c r="E21">
        <f>+(C21-C$7)/C$8</f>
        <v>0</v>
      </c>
      <c r="F21">
        <f>ROUND(2*E21,0)/2</f>
        <v>0</v>
      </c>
      <c r="I21">
        <f>+R21</f>
        <v>0</v>
      </c>
      <c r="O21">
        <f ca="1">+C$11+C$12*$F21</f>
        <v>2.644070100119196E-2</v>
      </c>
      <c r="Q21" s="2">
        <f>+C21-15018.5</f>
        <v>37482.373</v>
      </c>
      <c r="R21">
        <f>+C21-(C$7+F21*C$8)</f>
        <v>0</v>
      </c>
    </row>
    <row r="22" spans="1:18" x14ac:dyDescent="0.2">
      <c r="A22" t="s">
        <v>59</v>
      </c>
      <c r="B22" t="s">
        <v>67</v>
      </c>
      <c r="C22" s="8">
        <v>52085.485000000001</v>
      </c>
      <c r="D22" s="8" t="s">
        <v>38</v>
      </c>
      <c r="E22">
        <f>+(C22-C$7)/C$8</f>
        <v>-442.97171585476013</v>
      </c>
      <c r="F22">
        <f>ROUND(2*E22,0)/2</f>
        <v>-443</v>
      </c>
      <c r="G22">
        <f>+C22-(C$7+F22*C$8)</f>
        <v>2.6522899999690708E-2</v>
      </c>
      <c r="I22">
        <f>+G22</f>
        <v>2.6522899999690708E-2</v>
      </c>
      <c r="O22">
        <f ca="1">+C$11+C$12*$F22</f>
        <v>2.6522899999690708E-2</v>
      </c>
      <c r="Q22" s="2">
        <f>+C22-15018.5</f>
        <v>37066.985000000001</v>
      </c>
    </row>
    <row r="23" spans="1:18" x14ac:dyDescent="0.2">
      <c r="A23" t="s">
        <v>66</v>
      </c>
      <c r="B23" t="s">
        <v>67</v>
      </c>
      <c r="C23" s="8">
        <v>54707.378400000001</v>
      </c>
      <c r="D23" s="8" t="s">
        <v>38</v>
      </c>
      <c r="E23">
        <f>+(C23-C$7)/C$8</f>
        <v>2353.0277308944819</v>
      </c>
      <c r="F23">
        <f>ROUND(2*E23,0)/2</f>
        <v>2353</v>
      </c>
      <c r="G23">
        <f>+C23-(C$7+F23*C$8)</f>
        <v>2.6004100000136532E-2</v>
      </c>
      <c r="K23">
        <f>+G23</f>
        <v>2.6004100000136532E-2</v>
      </c>
      <c r="O23">
        <f ca="1">+C$11+C$12*$F23</f>
        <v>2.6004100000136532E-2</v>
      </c>
      <c r="Q23" s="2">
        <f>+C23-15018.5</f>
        <v>39688.878400000001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workbookViewId="0">
      <selection activeCell="A11" sqref="A11:D1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1" t="s">
        <v>41</v>
      </c>
      <c r="I1" s="42" t="s">
        <v>42</v>
      </c>
      <c r="J1" s="43" t="s">
        <v>40</v>
      </c>
    </row>
    <row r="2" spans="1:16" x14ac:dyDescent="0.2">
      <c r="I2" s="44" t="s">
        <v>43</v>
      </c>
      <c r="J2" s="45" t="s">
        <v>39</v>
      </c>
    </row>
    <row r="3" spans="1:16" x14ac:dyDescent="0.2">
      <c r="A3" s="46" t="s">
        <v>44</v>
      </c>
      <c r="I3" s="44" t="s">
        <v>45</v>
      </c>
      <c r="J3" s="45" t="s">
        <v>37</v>
      </c>
    </row>
    <row r="4" spans="1:16" x14ac:dyDescent="0.2">
      <c r="I4" s="44" t="s">
        <v>46</v>
      </c>
      <c r="J4" s="45" t="s">
        <v>37</v>
      </c>
    </row>
    <row r="5" spans="1:16" ht="13.5" thickBot="1" x14ac:dyDescent="0.25">
      <c r="I5" s="47" t="s">
        <v>47</v>
      </c>
      <c r="J5" s="48" t="s">
        <v>38</v>
      </c>
    </row>
    <row r="10" spans="1:16" ht="13.5" thickBot="1" x14ac:dyDescent="0.25"/>
    <row r="11" spans="1:16" ht="12.75" customHeight="1" thickBot="1" x14ac:dyDescent="0.25">
      <c r="A11" s="8" t="str">
        <f>P11</f>
        <v> BBS 125 </v>
      </c>
      <c r="B11" s="3" t="str">
        <f>IF(H11=INT(H11),"I","II")</f>
        <v>I</v>
      </c>
      <c r="C11" s="8">
        <f>1*G11</f>
        <v>52085.485000000001</v>
      </c>
      <c r="D11" s="10" t="str">
        <f>VLOOKUP(F11,I$1:J$5,2,FALSE)</f>
        <v>vis</v>
      </c>
      <c r="E11" s="49">
        <f>VLOOKUP(C11,Active!C$21:E$973,3,FALSE)</f>
        <v>-442.97171585476013</v>
      </c>
      <c r="F11" s="3" t="s">
        <v>47</v>
      </c>
      <c r="G11" s="10" t="str">
        <f>MID(I11,3,LEN(I11)-3)</f>
        <v>52085.485</v>
      </c>
      <c r="H11" s="8">
        <f>1*K11</f>
        <v>-1620</v>
      </c>
      <c r="I11" s="50" t="s">
        <v>53</v>
      </c>
      <c r="J11" s="51" t="s">
        <v>54</v>
      </c>
      <c r="K11" s="50">
        <v>-1620</v>
      </c>
      <c r="L11" s="50" t="s">
        <v>55</v>
      </c>
      <c r="M11" s="51" t="s">
        <v>56</v>
      </c>
      <c r="N11" s="51" t="s">
        <v>57</v>
      </c>
      <c r="O11" s="52" t="s">
        <v>58</v>
      </c>
      <c r="P11" s="52" t="s">
        <v>59</v>
      </c>
    </row>
    <row r="12" spans="1:16" ht="12.75" customHeight="1" thickBot="1" x14ac:dyDescent="0.25">
      <c r="A12" s="8" t="str">
        <f>P12</f>
        <v>BAVM 203 </v>
      </c>
      <c r="B12" s="3" t="str">
        <f>IF(H12=INT(H12),"I","II")</f>
        <v>I</v>
      </c>
      <c r="C12" s="8">
        <f>1*G12</f>
        <v>54707.378400000001</v>
      </c>
      <c r="D12" s="10" t="str">
        <f>VLOOKUP(F12,I$1:J$5,2,FALSE)</f>
        <v>vis</v>
      </c>
      <c r="E12" s="49">
        <f>VLOOKUP(C12,Active!C$21:E$973,3,FALSE)</f>
        <v>2353.0277308944819</v>
      </c>
      <c r="F12" s="3" t="s">
        <v>47</v>
      </c>
      <c r="G12" s="10" t="str">
        <f>MID(I12,3,LEN(I12)-3)</f>
        <v>54707.3784</v>
      </c>
      <c r="H12" s="8">
        <f>1*K12</f>
        <v>1176</v>
      </c>
      <c r="I12" s="50" t="s">
        <v>60</v>
      </c>
      <c r="J12" s="51" t="s">
        <v>61</v>
      </c>
      <c r="K12" s="50">
        <v>1176</v>
      </c>
      <c r="L12" s="50" t="s">
        <v>62</v>
      </c>
      <c r="M12" s="51" t="s">
        <v>63</v>
      </c>
      <c r="N12" s="51" t="s">
        <v>64</v>
      </c>
      <c r="O12" s="52" t="s">
        <v>65</v>
      </c>
      <c r="P12" s="53" t="s">
        <v>66</v>
      </c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</sheetData>
  <phoneticPr fontId="7" type="noConversion"/>
  <hyperlinks>
    <hyperlink ref="A3" r:id="rId1"/>
    <hyperlink ref="P12" r:id="rId2" display="http://www.bav-astro.de/sfs/BAVM_link.php?BAVMnr=20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2024-01-11T04:38:11Z</dcterms:modified>
</cp:coreProperties>
</file>