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C915ECE-3C6A-4C93-8741-29EBCA9EC5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23" i="1"/>
  <c r="F23" i="1"/>
  <c r="G23" i="1"/>
  <c r="H23" i="1"/>
  <c r="E24" i="1"/>
  <c r="F24" i="1"/>
  <c r="G24" i="1"/>
  <c r="H24" i="1"/>
  <c r="Q21" i="1"/>
  <c r="Q22" i="1"/>
  <c r="H14" i="2"/>
  <c r="B14" i="2"/>
  <c r="G14" i="2"/>
  <c r="C14" i="2"/>
  <c r="E14" i="2"/>
  <c r="D14" i="2"/>
  <c r="A14" i="2"/>
  <c r="H13" i="2"/>
  <c r="G13" i="2"/>
  <c r="C13" i="2"/>
  <c r="E13" i="2"/>
  <c r="D13" i="2"/>
  <c r="B13" i="2"/>
  <c r="A13" i="2"/>
  <c r="H12" i="2"/>
  <c r="G12" i="2"/>
  <c r="D12" i="2"/>
  <c r="C12" i="2"/>
  <c r="E12" i="2"/>
  <c r="B12" i="2"/>
  <c r="A12" i="2"/>
  <c r="H11" i="2"/>
  <c r="B11" i="2"/>
  <c r="G11" i="2"/>
  <c r="C11" i="2"/>
  <c r="E11" i="2"/>
  <c r="D11" i="2"/>
  <c r="A11" i="2"/>
  <c r="F11" i="1"/>
  <c r="Q23" i="1"/>
  <c r="Q24" i="1"/>
  <c r="G11" i="1"/>
  <c r="E14" i="1"/>
  <c r="E15" i="1" s="1"/>
  <c r="E25" i="1"/>
  <c r="F25" i="1"/>
  <c r="G25" i="1"/>
  <c r="I25" i="1"/>
  <c r="C17" i="1"/>
  <c r="Q25" i="1"/>
  <c r="C12" i="1"/>
  <c r="C11" i="1"/>
  <c r="O25" i="1" l="1"/>
  <c r="O21" i="1"/>
  <c r="O23" i="1"/>
  <c r="O24" i="1"/>
  <c r="C15" i="1"/>
  <c r="O22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<sst xmlns="http://schemas.openxmlformats.org/spreadsheetml/2006/main" count="101" uniqueCount="74">
  <si>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</si>
  <si>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</si>
  <si>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</si>
  <si>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</si>
  <si>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</si>
  <si>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</si>
  <si>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</si>
  <si>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</si>
  <si>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</si>
  <si>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</si>
  <si>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</si>
  <si>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</si>
  <si>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</si>
  <si>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</si>
  <si>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</si>
  <si>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</si>
  <si>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</si>
  <si>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</si>
  <si>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</si>
  <si>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</si>
  <si>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</si>
  <si>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</si>
  <si>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</si>
  <si>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</si>
  <si>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</si>
  <si>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</si>
  <si>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</si>
  <si>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</si>
  <si>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</si>
  <si>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</si>
  <si>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</si>
  <si>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</si>
  <si>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</si>
  <si>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</si>
  <si>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</si>
  <si>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</si>
  <si>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</si>
  <si>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V1269 Aql / GSC 0478-1648</t>
  </si>
  <si>
    <t>IBVS 5507</t>
  </si>
  <si>
    <t>I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</si>
  <si>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</si>
  <si>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</si>
  <si>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</si>
  <si>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</si>
  <si>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</si>
  <si>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</si>
  <si>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</si>
  <si>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</si>
  <si>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</si>
  <si>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</si>
  <si>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</si>
  <si>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</si>
  <si>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2438674.30 </t>
  </si>
  <si>
    <t> 05.10.1964 19:12 </t>
  </si>
  <si>
    <t> 33.81 </t>
  </si>
  <si>
    <t>P </t>
  </si>
  <si>
    <t> G.Richter </t>
  </si>
  <si>
    <t> MVS 5.91 </t>
  </si>
  <si>
    <t>2438940.52 </t>
  </si>
  <si>
    <t> 29.06.1965 00:28 </t>
  </si>
  <si>
    <t> 33.83 </t>
  </si>
  <si>
    <t>2451337.5742 </t>
  </si>
  <si>
    <t> 08.06.1999 01:46 </t>
  </si>
  <si>
    <t> -0.0117 </t>
  </si>
  <si>
    <t>E </t>
  </si>
  <si>
    <t>?</t>
  </si>
  <si>
    <t> Ogloza&amp;Zakrewski </t>
  </si>
  <si>
    <t>IBVS 5507 </t>
  </si>
  <si>
    <t>2451338.5722 </t>
  </si>
  <si>
    <t> 09.06.1999 01:43 </t>
  </si>
  <si>
    <t> -0.0144 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</si>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</sst>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V1269 Aql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-7109</c:v>
                </c:pt>
                <c:pt idx="1">
                  <c:v>-6976</c:v>
                </c:pt>
                <c:pt idx="2">
                  <c:v>-782</c:v>
                </c:pt>
                <c:pt idx="3">
                  <c:v>-781.5</c:v>
                </c:pt>
                <c:pt idx="4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-9.5399999918299727E-3</c:v>
                </c:pt>
                <c:pt idx="3">
                  <c:v>-1.2254999994183891E-2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01-4EC4-AF4A-61E634116D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-7109</c:v>
                </c:pt>
                <c:pt idx="1">
                  <c:v>-6976</c:v>
                </c:pt>
                <c:pt idx="2">
                  <c:v>-782</c:v>
                </c:pt>
                <c:pt idx="3">
                  <c:v>-781.5</c:v>
                </c:pt>
                <c:pt idx="4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-0.23612999999022577</c:v>
                </c:pt>
                <c:pt idx="1">
                  <c:v>-0.20632000000478001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01-4EC4-AF4A-61E634116D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-7109</c:v>
                </c:pt>
                <c:pt idx="1">
                  <c:v>-6976</c:v>
                </c:pt>
                <c:pt idx="2">
                  <c:v>-782</c:v>
                </c:pt>
                <c:pt idx="3">
                  <c:v>-781.5</c:v>
                </c:pt>
                <c:pt idx="4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01-4EC4-AF4A-61E634116D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-7109</c:v>
                </c:pt>
                <c:pt idx="1">
                  <c:v>-6976</c:v>
                </c:pt>
                <c:pt idx="2">
                  <c:v>-782</c:v>
                </c:pt>
                <c:pt idx="3">
                  <c:v>-781.5</c:v>
                </c:pt>
                <c:pt idx="4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01-4EC4-AF4A-61E634116D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-7109</c:v>
                </c:pt>
                <c:pt idx="1">
                  <c:v>-6976</c:v>
                </c:pt>
                <c:pt idx="2">
                  <c:v>-782</c:v>
                </c:pt>
                <c:pt idx="3">
                  <c:v>-781.5</c:v>
                </c:pt>
                <c:pt idx="4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01-4EC4-AF4A-61E634116D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-7109</c:v>
                </c:pt>
                <c:pt idx="1">
                  <c:v>-6976</c:v>
                </c:pt>
                <c:pt idx="2">
                  <c:v>-782</c:v>
                </c:pt>
                <c:pt idx="3">
                  <c:v>-781.5</c:v>
                </c:pt>
                <c:pt idx="4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01-4EC4-AF4A-61E634116D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-7109</c:v>
                </c:pt>
                <c:pt idx="1">
                  <c:v>-6976</c:v>
                </c:pt>
                <c:pt idx="2">
                  <c:v>-782</c:v>
                </c:pt>
                <c:pt idx="3">
                  <c:v>-781.5</c:v>
                </c:pt>
                <c:pt idx="4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01-4EC4-AF4A-61E634116D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-7109</c:v>
                </c:pt>
                <c:pt idx="1">
                  <c:v>-6976</c:v>
                </c:pt>
                <c:pt idx="2">
                  <c:v>-782</c:v>
                </c:pt>
                <c:pt idx="3">
                  <c:v>-781.5</c:v>
                </c:pt>
                <c:pt idx="4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-0.22294303942104216</c:v>
                </c:pt>
                <c:pt idx="1">
                  <c:v>-0.21859491104582451</c:v>
                </c:pt>
                <c:pt idx="2">
                  <c:v>-1.6096360999975277E-2</c:v>
                </c:pt>
                <c:pt idx="3">
                  <c:v>-1.6080014652700023E-2</c:v>
                </c:pt>
                <c:pt idx="4">
                  <c:v>9.4693261385223187E-3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01-4EC4-AF4A-61E634116DA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-7109</c:v>
                </c:pt>
                <c:pt idx="1">
                  <c:v>-6976</c:v>
                </c:pt>
                <c:pt idx="2">
                  <c:v>-782</c:v>
                </c:pt>
                <c:pt idx="3">
                  <c:v>-781.5</c:v>
                </c:pt>
                <c:pt idx="4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01-4EC4-AF4A-61E63411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48704"/>
        <c:axId val="1"/>
      </c:scatterChart>
      <c:valAx>
        <c:axId val="69714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48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75366568914952"/>
          <c:w val="0.6962406015037594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699E22-89C6-D74B-C3D4-E5CFB9ECE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507" TargetMode="External"/><Relationship Id="rId2" Type="http://schemas.openxmlformats.org/officeDocument/2006/relationships/hyperlink" Target="http://www.konkoly.hu/cgi-bin/IBVS?5507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35</v>
      </c>
      <c r="D4" s="29" t="s">
        <v>35</v>
      </c>
    </row>
    <row r="6" spans="1:7" x14ac:dyDescent="0.2">
      <c r="A6" s="5" t="s">
        <v>1</v>
      </c>
    </row>
    <row r="7" spans="1:7" x14ac:dyDescent="0.2">
      <c r="A7" t="s">
        <v>2</v>
      </c>
      <c r="C7" s="46">
        <v>52902.701999999997</v>
      </c>
      <c r="D7" s="30" t="s">
        <v>36</v>
      </c>
    </row>
    <row r="8" spans="1:7" x14ac:dyDescent="0.2">
      <c r="A8" t="s">
        <v>3</v>
      </c>
      <c r="C8" s="46">
        <v>2.00143</v>
      </c>
      <c r="D8" s="30" t="s">
        <v>36</v>
      </c>
    </row>
    <row r="9" spans="1:7" x14ac:dyDescent="0.2">
      <c r="A9" s="9" t="s">
        <v>25</v>
      </c>
      <c r="B9" s="10"/>
      <c r="C9" s="11">
        <v>-9.5</v>
      </c>
      <c r="D9" s="10" t="s">
        <v>26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9.4693261385223187E-3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3.2692694550508434E-5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32</v>
      </c>
      <c r="E13" s="11">
        <v>1</v>
      </c>
    </row>
    <row r="14" spans="1:7" x14ac:dyDescent="0.2">
      <c r="A14" s="10"/>
      <c r="B14" s="10"/>
      <c r="C14" s="10"/>
      <c r="D14" s="14" t="s">
        <v>27</v>
      </c>
      <c r="E14" s="15">
        <f ca="1">NOW()+15018.5+$C$9/24</f>
        <v>60320.736519212958</v>
      </c>
    </row>
    <row r="15" spans="1:7" x14ac:dyDescent="0.2">
      <c r="A15" s="12" t="s">
        <v>17</v>
      </c>
      <c r="B15" s="10"/>
      <c r="C15" s="13">
        <f ca="1">(C7+C11)+(C8+C12)*INT(MAX(F21:F3533))</f>
        <v>52902.711469326139</v>
      </c>
      <c r="D15" s="14" t="s">
        <v>33</v>
      </c>
      <c r="E15" s="15">
        <f ca="1">ROUND(2*(E14-$C$7)/$C$8,0)/2+E13</f>
        <v>3707.5</v>
      </c>
    </row>
    <row r="16" spans="1:7" x14ac:dyDescent="0.2">
      <c r="A16" s="16" t="s">
        <v>4</v>
      </c>
      <c r="B16" s="10"/>
      <c r="C16" s="17">
        <f ca="1">+C8+C12</f>
        <v>2.0014626926945507</v>
      </c>
      <c r="D16" s="14" t="s">
        <v>34</v>
      </c>
      <c r="E16" s="24">
        <f ca="1">ROUND(2*(E14-$C$15)/$C$16,0)/2+E13</f>
        <v>3707.5</v>
      </c>
    </row>
    <row r="17" spans="1:18" ht="13.5" thickBot="1" x14ac:dyDescent="0.25">
      <c r="A17" s="14" t="s">
        <v>24</v>
      </c>
      <c r="B17" s="10"/>
      <c r="C17" s="10">
        <f>COUNT(C21:C2191)</f>
        <v>5</v>
      </c>
      <c r="D17" s="14" t="s">
        <v>28</v>
      </c>
      <c r="E17" s="18">
        <f ca="1">+$C$15+$C$16*E16-15018.5-$C$9/24</f>
        <v>45305.030235824524</v>
      </c>
    </row>
    <row r="18" spans="1:18" ht="14.25" thickTop="1" thickBot="1" x14ac:dyDescent="0.25">
      <c r="A18" s="16" t="s">
        <v>5</v>
      </c>
      <c r="B18" s="10"/>
      <c r="C18" s="19">
        <f ca="1">+C15</f>
        <v>52902.711469326139</v>
      </c>
      <c r="D18" s="20">
        <f ca="1">+C16</f>
        <v>2.0014626926945507</v>
      </c>
      <c r="E18" s="21" t="s">
        <v>29</v>
      </c>
    </row>
    <row r="19" spans="1:18" ht="13.5" thickTop="1" x14ac:dyDescent="0.2">
      <c r="A19" s="25" t="s">
        <v>30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51</v>
      </c>
      <c r="J20" s="7" t="s">
        <v>45</v>
      </c>
      <c r="K20" s="7" t="s">
        <v>43</v>
      </c>
      <c r="L20" s="7" t="s">
        <v>71</v>
      </c>
      <c r="M20" s="7" t="s">
        <v>72</v>
      </c>
      <c r="N20" s="7" t="s">
        <v>73</v>
      </c>
      <c r="O20" s="7" t="s">
        <v>22</v>
      </c>
      <c r="P20" s="6" t="s">
        <v>21</v>
      </c>
      <c r="Q20" s="4" t="s">
        <v>14</v>
      </c>
      <c r="R20" s="27" t="s">
        <v>31</v>
      </c>
    </row>
    <row r="21" spans="1:18" x14ac:dyDescent="0.2">
      <c r="A21" s="24" t="s">
        <v>57</v>
      </c>
      <c r="B21" s="3" t="s">
        <v>39</v>
      </c>
      <c r="C21" s="8">
        <v>38674.300000000003</v>
      </c>
      <c r="D21" s="8" t="s">
        <v>51</v>
      </c>
      <c r="E21">
        <f>+(C21-C$7)/C$8</f>
        <v>-7109.1179806438367</v>
      </c>
      <c r="F21">
        <f>ROUND(2*E21,0)/2</f>
        <v>-7109</v>
      </c>
      <c r="G21">
        <f>+C21-(C$7+F21*C$8)</f>
        <v>-0.23612999999022577</v>
      </c>
      <c r="I21">
        <f>+G21</f>
        <v>-0.23612999999022577</v>
      </c>
      <c r="O21">
        <f ca="1">+C$11+C$12*$F21</f>
        <v>-0.22294303942104216</v>
      </c>
      <c r="Q21" s="2">
        <f>+C21-15018.5</f>
        <v>23655.800000000003</v>
      </c>
    </row>
    <row r="22" spans="1:18" x14ac:dyDescent="0.2">
      <c r="A22" s="24" t="s">
        <v>57</v>
      </c>
      <c r="B22" s="3" t="s">
        <v>39</v>
      </c>
      <c r="C22" s="8">
        <v>38940.519999999997</v>
      </c>
      <c r="D22" s="8" t="s">
        <v>51</v>
      </c>
      <c r="E22">
        <f>+(C22-C$7)/C$8</f>
        <v>-6976.1030862933003</v>
      </c>
      <c r="F22">
        <f>ROUND(2*E22,0)/2</f>
        <v>-6976</v>
      </c>
      <c r="G22">
        <f>+C22-(C$7+F22*C$8)</f>
        <v>-0.20632000000478001</v>
      </c>
      <c r="I22">
        <f>+G22</f>
        <v>-0.20632000000478001</v>
      </c>
      <c r="O22">
        <f ca="1">+C$11+C$12*$F22</f>
        <v>-0.21859491104582451</v>
      </c>
      <c r="Q22" s="2">
        <f>+C22-15018.5</f>
        <v>23922.019999999997</v>
      </c>
    </row>
    <row r="23" spans="1:18" x14ac:dyDescent="0.2">
      <c r="A23" s="31" t="s">
        <v>38</v>
      </c>
      <c r="B23" s="32" t="s">
        <v>39</v>
      </c>
      <c r="C23" s="31">
        <v>51337.574200000003</v>
      </c>
      <c r="D23" s="31">
        <v>5.0000000000000001E-4</v>
      </c>
      <c r="E23">
        <f>+(C23-C$7)/C$8</f>
        <v>-782.00476659188416</v>
      </c>
      <c r="F23">
        <f>ROUND(2*E23,0)/2</f>
        <v>-782</v>
      </c>
      <c r="G23">
        <f>+C23-(C$7+F23*C$8)</f>
        <v>-9.5399999918299727E-3</v>
      </c>
      <c r="H23">
        <f>+G23</f>
        <v>-9.5399999918299727E-3</v>
      </c>
      <c r="O23">
        <f ca="1">+C$11+C$12*$F23</f>
        <v>-1.6096360999975277E-2</v>
      </c>
      <c r="Q23" s="2">
        <f>+C23-15018.5</f>
        <v>36319.074200000003</v>
      </c>
    </row>
    <row r="24" spans="1:18" x14ac:dyDescent="0.2">
      <c r="A24" s="31" t="s">
        <v>38</v>
      </c>
      <c r="B24" s="32" t="s">
        <v>40</v>
      </c>
      <c r="C24" s="31">
        <v>51338.572200000002</v>
      </c>
      <c r="D24" s="31">
        <v>2.0000000000000001E-4</v>
      </c>
      <c r="E24">
        <f>+(C24-C$7)/C$8</f>
        <v>-781.5061231219654</v>
      </c>
      <c r="F24">
        <f>ROUND(2*E24,0)/2</f>
        <v>-781.5</v>
      </c>
      <c r="G24">
        <f>+C24-(C$7+F24*C$8)</f>
        <v>-1.2254999994183891E-2</v>
      </c>
      <c r="H24">
        <f>+G24</f>
        <v>-1.2254999994183891E-2</v>
      </c>
      <c r="O24">
        <f ca="1">+C$11+C$12*$F24</f>
        <v>-1.6080014652700023E-2</v>
      </c>
      <c r="Q24" s="2">
        <f>+C24-15018.5</f>
        <v>36320.072200000002</v>
      </c>
    </row>
    <row r="25" spans="1:18" x14ac:dyDescent="0.2">
      <c r="A25" t="s">
        <v>36</v>
      </c>
      <c r="C25" s="8">
        <v>52902.701999999997</v>
      </c>
      <c r="D25" s="8" t="s">
        <v>13</v>
      </c>
      <c r="E25">
        <f>+(C25-C$7)/C$8</f>
        <v>0</v>
      </c>
      <c r="F25">
        <f>ROUND(2*E25,0)/2</f>
        <v>0</v>
      </c>
      <c r="G25">
        <f>+C25-(C$7+F25*C$8)</f>
        <v>0</v>
      </c>
      <c r="I25">
        <f>+G25</f>
        <v>0</v>
      </c>
      <c r="O25">
        <f ca="1">+C$11+C$12*$F25</f>
        <v>9.4693261385223187E-3</v>
      </c>
      <c r="Q25" s="2">
        <f>+C25-15018.5</f>
        <v>37884.201999999997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7"/>
  <sheetViews>
    <sheetView workbookViewId="0">
      <selection activeCell="A11" sqref="A11:D12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3" t="s">
        <v>41</v>
      </c>
      <c r="I1" s="34" t="s">
        <v>42</v>
      </c>
      <c r="J1" s="35" t="s">
        <v>43</v>
      </c>
    </row>
    <row r="2" spans="1:16" x14ac:dyDescent="0.2">
      <c r="I2" s="36" t="s">
        <v>44</v>
      </c>
      <c r="J2" s="37" t="s">
        <v>45</v>
      </c>
    </row>
    <row r="3" spans="1:16" x14ac:dyDescent="0.2">
      <c r="A3" s="38" t="s">
        <v>46</v>
      </c>
      <c r="I3" s="36" t="s">
        <v>47</v>
      </c>
      <c r="J3" s="37" t="s">
        <v>48</v>
      </c>
    </row>
    <row r="4" spans="1:16" x14ac:dyDescent="0.2">
      <c r="I4" s="36" t="s">
        <v>49</v>
      </c>
      <c r="J4" s="37" t="s">
        <v>48</v>
      </c>
    </row>
    <row r="5" spans="1:16" ht="13.5" thickBot="1" x14ac:dyDescent="0.25">
      <c r="I5" s="39" t="s">
        <v>50</v>
      </c>
      <c r="J5" s="40" t="s">
        <v>51</v>
      </c>
    </row>
    <row r="10" spans="1:16" ht="13.5" thickBot="1" x14ac:dyDescent="0.25"/>
    <row r="11" spans="1:16" ht="12.75" customHeight="1" thickBot="1" x14ac:dyDescent="0.25">
      <c r="A11" s="8" t="str">
        <f>P11</f>
        <v> MVS 5.91 </v>
      </c>
      <c r="B11" s="3" t="str">
        <f>IF(H11=INT(H11),"I","II")</f>
        <v>I</v>
      </c>
      <c r="C11" s="8">
        <f>1*G11</f>
        <v>38674.300000000003</v>
      </c>
      <c r="D11" s="10" t="str">
        <f>VLOOKUP(F11,I$1:J$5,2,FALSE)</f>
        <v>vis</v>
      </c>
      <c r="E11" s="41">
        <f>VLOOKUP(C11,Active!C$21:E$973,3,FALSE)</f>
        <v>-7109.1179806438367</v>
      </c>
      <c r="F11" s="3" t="s">
        <v>50</v>
      </c>
      <c r="G11" s="10" t="str">
        <f>MID(I11,3,LEN(I11)-3)</f>
        <v>38674.30</v>
      </c>
      <c r="H11" s="8">
        <f>1*K11</f>
        <v>-7238</v>
      </c>
      <c r="I11" s="42" t="s">
        <v>52</v>
      </c>
      <c r="J11" s="43" t="s">
        <v>53</v>
      </c>
      <c r="K11" s="42">
        <v>-7238</v>
      </c>
      <c r="L11" s="42" t="s">
        <v>54</v>
      </c>
      <c r="M11" s="43" t="s">
        <v>55</v>
      </c>
      <c r="N11" s="43"/>
      <c r="O11" s="44" t="s">
        <v>56</v>
      </c>
      <c r="P11" s="44" t="s">
        <v>57</v>
      </c>
    </row>
    <row r="12" spans="1:16" ht="12.75" customHeight="1" thickBot="1" x14ac:dyDescent="0.25">
      <c r="A12" s="8" t="str">
        <f>P12</f>
        <v> MVS 5.91 </v>
      </c>
      <c r="B12" s="3" t="str">
        <f>IF(H12=INT(H12),"I","II")</f>
        <v>I</v>
      </c>
      <c r="C12" s="8">
        <f>1*G12</f>
        <v>38940.519999999997</v>
      </c>
      <c r="D12" s="10" t="str">
        <f>VLOOKUP(F12,I$1:J$5,2,FALSE)</f>
        <v>vis</v>
      </c>
      <c r="E12" s="41">
        <f>VLOOKUP(C12,Active!C$21:E$973,3,FALSE)</f>
        <v>-6976.1030862933003</v>
      </c>
      <c r="F12" s="3" t="s">
        <v>50</v>
      </c>
      <c r="G12" s="10" t="str">
        <f>MID(I12,3,LEN(I12)-3)</f>
        <v>38940.52</v>
      </c>
      <c r="H12" s="8">
        <f>1*K12</f>
        <v>-7105</v>
      </c>
      <c r="I12" s="42" t="s">
        <v>58</v>
      </c>
      <c r="J12" s="43" t="s">
        <v>59</v>
      </c>
      <c r="K12" s="42">
        <v>-7105</v>
      </c>
      <c r="L12" s="42" t="s">
        <v>60</v>
      </c>
      <c r="M12" s="43" t="s">
        <v>55</v>
      </c>
      <c r="N12" s="43"/>
      <c r="O12" s="44" t="s">
        <v>56</v>
      </c>
      <c r="P12" s="44" t="s">
        <v>57</v>
      </c>
    </row>
    <row r="13" spans="1:16" ht="12.75" customHeight="1" thickBot="1" x14ac:dyDescent="0.25">
      <c r="A13" s="8" t="str">
        <f>P13</f>
        <v>IBVS 5507 </v>
      </c>
      <c r="B13" s="3" t="str">
        <f>IF(H13=INT(H13),"I","II")</f>
        <v>I</v>
      </c>
      <c r="C13" s="8">
        <f>1*G13</f>
        <v>51337.574200000003</v>
      </c>
      <c r="D13" s="10" t="str">
        <f>VLOOKUP(F13,I$1:J$5,2,FALSE)</f>
        <v>vis</v>
      </c>
      <c r="E13" s="41">
        <f>VLOOKUP(C13,Active!C$21:E$973,3,FALSE)</f>
        <v>-782.00476659188416</v>
      </c>
      <c r="F13" s="3" t="s">
        <v>50</v>
      </c>
      <c r="G13" s="10" t="str">
        <f>MID(I13,3,LEN(I13)-3)</f>
        <v>51337.5742</v>
      </c>
      <c r="H13" s="8">
        <f>1*K13</f>
        <v>-894</v>
      </c>
      <c r="I13" s="42" t="s">
        <v>61</v>
      </c>
      <c r="J13" s="43" t="s">
        <v>62</v>
      </c>
      <c r="K13" s="42">
        <v>-894</v>
      </c>
      <c r="L13" s="42" t="s">
        <v>63</v>
      </c>
      <c r="M13" s="43" t="s">
        <v>64</v>
      </c>
      <c r="N13" s="43" t="s">
        <v>65</v>
      </c>
      <c r="O13" s="44" t="s">
        <v>66</v>
      </c>
      <c r="P13" s="45" t="s">
        <v>67</v>
      </c>
    </row>
    <row r="14" spans="1:16" ht="12.75" customHeight="1" thickBot="1" x14ac:dyDescent="0.25">
      <c r="A14" s="8" t="str">
        <f>P14</f>
        <v>IBVS 5507 </v>
      </c>
      <c r="B14" s="3" t="str">
        <f>IF(H14=INT(H14),"I","II")</f>
        <v>II</v>
      </c>
      <c r="C14" s="8">
        <f>1*G14</f>
        <v>51338.572200000002</v>
      </c>
      <c r="D14" s="10" t="str">
        <f>VLOOKUP(F14,I$1:J$5,2,FALSE)</f>
        <v>vis</v>
      </c>
      <c r="E14" s="41">
        <f>VLOOKUP(C14,Active!C$21:E$973,3,FALSE)</f>
        <v>-781.5061231219654</v>
      </c>
      <c r="F14" s="3" t="s">
        <v>50</v>
      </c>
      <c r="G14" s="10" t="str">
        <f>MID(I14,3,LEN(I14)-3)</f>
        <v>51338.5722</v>
      </c>
      <c r="H14" s="8">
        <f>1*K14</f>
        <v>-893.5</v>
      </c>
      <c r="I14" s="42" t="s">
        <v>68</v>
      </c>
      <c r="J14" s="43" t="s">
        <v>69</v>
      </c>
      <c r="K14" s="42">
        <v>-893.5</v>
      </c>
      <c r="L14" s="42" t="s">
        <v>70</v>
      </c>
      <c r="M14" s="43" t="s">
        <v>64</v>
      </c>
      <c r="N14" s="43" t="s">
        <v>65</v>
      </c>
      <c r="O14" s="44" t="s">
        <v>66</v>
      </c>
      <c r="P14" s="45" t="s">
        <v>67</v>
      </c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</sheetData>
  <phoneticPr fontId="7" type="noConversion"/>
  <hyperlinks>
    <hyperlink ref="A3" r:id="rId1"/>
    <hyperlink ref="P13" r:id="rId2" display="http://www.konkoly.hu/cgi-bin/IBVS?5507"/>
    <hyperlink ref="P14" r:id="rId3" display="http://www.konkoly.hu/cgi-bin/IBVS?5507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2024-01-11T04:40:35Z</dcterms:modified>
</cp:coreProperties>
</file>