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FCC40B0-68A2-4719-9014-5D947C08DE3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F16" i="1"/>
  <c r="F17" i="1" s="1"/>
  <c r="H37" i="2"/>
  <c r="G37" i="2"/>
  <c r="C37" i="2"/>
  <c r="D37" i="2"/>
  <c r="B37" i="2"/>
  <c r="A37" i="2"/>
  <c r="H36" i="2"/>
  <c r="G36" i="2"/>
  <c r="D36" i="2"/>
  <c r="C36" i="2"/>
  <c r="B36" i="2"/>
  <c r="A36" i="2"/>
  <c r="H35" i="2"/>
  <c r="B35" i="2"/>
  <c r="G35" i="2"/>
  <c r="D35" i="2"/>
  <c r="C35" i="2"/>
  <c r="A35" i="2"/>
  <c r="H34" i="2"/>
  <c r="B34" i="2"/>
  <c r="G34" i="2"/>
  <c r="C34" i="2"/>
  <c r="D34" i="2"/>
  <c r="A34" i="2"/>
  <c r="H33" i="2"/>
  <c r="G33" i="2"/>
  <c r="C33" i="2"/>
  <c r="D33" i="2"/>
  <c r="B33" i="2"/>
  <c r="A33" i="2"/>
  <c r="H32" i="2"/>
  <c r="G32" i="2"/>
  <c r="D32" i="2"/>
  <c r="C32" i="2"/>
  <c r="B32" i="2"/>
  <c r="A32" i="2"/>
  <c r="H31" i="2"/>
  <c r="B31" i="2"/>
  <c r="G31" i="2"/>
  <c r="D31" i="2"/>
  <c r="C31" i="2"/>
  <c r="E31" i="2"/>
  <c r="A31" i="2"/>
  <c r="H30" i="2"/>
  <c r="B30" i="2"/>
  <c r="G30" i="2"/>
  <c r="C30" i="2"/>
  <c r="D30" i="2"/>
  <c r="A30" i="2"/>
  <c r="H29" i="2"/>
  <c r="G29" i="2"/>
  <c r="C29" i="2"/>
  <c r="D29" i="2"/>
  <c r="B29" i="2"/>
  <c r="A29" i="2"/>
  <c r="H28" i="2"/>
  <c r="G28" i="2"/>
  <c r="C28" i="2"/>
  <c r="E28" i="2"/>
  <c r="D28" i="2"/>
  <c r="B28" i="2"/>
  <c r="A28" i="2"/>
  <c r="H27" i="2"/>
  <c r="B27" i="2"/>
  <c r="G27" i="2"/>
  <c r="D27" i="2"/>
  <c r="C27" i="2"/>
  <c r="A27" i="2"/>
  <c r="H26" i="2"/>
  <c r="B26" i="2"/>
  <c r="G26" i="2"/>
  <c r="C26" i="2"/>
  <c r="D26" i="2"/>
  <c r="A26" i="2"/>
  <c r="H25" i="2"/>
  <c r="G25" i="2"/>
  <c r="C25" i="2"/>
  <c r="D25" i="2"/>
  <c r="B25" i="2"/>
  <c r="A25" i="2"/>
  <c r="H24" i="2"/>
  <c r="G24" i="2"/>
  <c r="C24" i="2"/>
  <c r="D24" i="2"/>
  <c r="B24" i="2"/>
  <c r="A24" i="2"/>
  <c r="H23" i="2"/>
  <c r="B23" i="2"/>
  <c r="G23" i="2"/>
  <c r="D23" i="2"/>
  <c r="C23" i="2"/>
  <c r="A23" i="2"/>
  <c r="H22" i="2"/>
  <c r="B22" i="2"/>
  <c r="G22" i="2"/>
  <c r="C22" i="2"/>
  <c r="D22" i="2"/>
  <c r="A22" i="2"/>
  <c r="H21" i="2"/>
  <c r="G21" i="2"/>
  <c r="C21" i="2"/>
  <c r="D21" i="2"/>
  <c r="B21" i="2"/>
  <c r="A21" i="2"/>
  <c r="H20" i="2"/>
  <c r="G20" i="2"/>
  <c r="C20" i="2"/>
  <c r="D20" i="2"/>
  <c r="B20" i="2"/>
  <c r="A20" i="2"/>
  <c r="H19" i="2"/>
  <c r="B19" i="2"/>
  <c r="G19" i="2"/>
  <c r="D19" i="2"/>
  <c r="C19" i="2"/>
  <c r="A19" i="2"/>
  <c r="H18" i="2"/>
  <c r="B18" i="2"/>
  <c r="G18" i="2"/>
  <c r="C18" i="2"/>
  <c r="D18" i="2"/>
  <c r="A18" i="2"/>
  <c r="H17" i="2"/>
  <c r="G17" i="2"/>
  <c r="C17" i="2"/>
  <c r="D17" i="2"/>
  <c r="B17" i="2"/>
  <c r="A17" i="2"/>
  <c r="H16" i="2"/>
  <c r="G16" i="2"/>
  <c r="C16" i="2"/>
  <c r="D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C13" i="2"/>
  <c r="D13" i="2"/>
  <c r="B13" i="2"/>
  <c r="A13" i="2"/>
  <c r="H12" i="2"/>
  <c r="G12" i="2"/>
  <c r="C12" i="2"/>
  <c r="D12" i="2"/>
  <c r="B12" i="2"/>
  <c r="A12" i="2"/>
  <c r="H11" i="2"/>
  <c r="B11" i="2"/>
  <c r="G11" i="2"/>
  <c r="D11" i="2"/>
  <c r="C11" i="2"/>
  <c r="A11" i="2"/>
  <c r="Q48" i="1"/>
  <c r="C17" i="1"/>
  <c r="Q47" i="1"/>
  <c r="Q42" i="1"/>
  <c r="Q43" i="1"/>
  <c r="Q44" i="1"/>
  <c r="Q46" i="1"/>
  <c r="Q45" i="1"/>
  <c r="C7" i="1"/>
  <c r="E39" i="1"/>
  <c r="F39" i="1"/>
  <c r="C8" i="1"/>
  <c r="Q21" i="1"/>
  <c r="E17" i="2"/>
  <c r="E26" i="2"/>
  <c r="E15" i="2"/>
  <c r="E18" i="2"/>
  <c r="E27" i="2"/>
  <c r="E30" i="2"/>
  <c r="E14" i="2"/>
  <c r="E48" i="1"/>
  <c r="F48" i="1"/>
  <c r="G36" i="1"/>
  <c r="I36" i="1"/>
  <c r="E45" i="1"/>
  <c r="F45" i="1"/>
  <c r="E25" i="1"/>
  <c r="F25" i="1"/>
  <c r="E36" i="1"/>
  <c r="F36" i="1"/>
  <c r="E32" i="1"/>
  <c r="F32" i="1"/>
  <c r="G32" i="1"/>
  <c r="I32" i="1"/>
  <c r="E28" i="1"/>
  <c r="F28" i="1"/>
  <c r="G28" i="1"/>
  <c r="I28" i="1"/>
  <c r="E37" i="1"/>
  <c r="F37" i="1"/>
  <c r="G37" i="1"/>
  <c r="I37" i="1"/>
  <c r="G44" i="1"/>
  <c r="K44" i="1"/>
  <c r="E42" i="1"/>
  <c r="F42" i="1"/>
  <c r="G42" i="1"/>
  <c r="G26" i="1"/>
  <c r="I26" i="1"/>
  <c r="E47" i="1"/>
  <c r="F47" i="1"/>
  <c r="G47" i="1"/>
  <c r="J47" i="1"/>
  <c r="G41" i="1"/>
  <c r="I41" i="1"/>
  <c r="G25" i="1"/>
  <c r="I25" i="1"/>
  <c r="E24" i="1"/>
  <c r="F24" i="1"/>
  <c r="E35" i="1"/>
  <c r="F35" i="1"/>
  <c r="G35" i="1"/>
  <c r="I35" i="1"/>
  <c r="E31" i="1"/>
  <c r="F31" i="1"/>
  <c r="E27" i="1"/>
  <c r="F27" i="1"/>
  <c r="G27" i="1"/>
  <c r="I27" i="1"/>
  <c r="E41" i="1"/>
  <c r="F41" i="1"/>
  <c r="E44" i="1"/>
  <c r="F44" i="1"/>
  <c r="G24" i="1"/>
  <c r="I24" i="1"/>
  <c r="G39" i="1"/>
  <c r="I39" i="1"/>
  <c r="G31" i="1"/>
  <c r="I31" i="1"/>
  <c r="E23" i="1"/>
  <c r="F23" i="1"/>
  <c r="G23" i="1"/>
  <c r="I23" i="1"/>
  <c r="E34" i="1"/>
  <c r="F34" i="1"/>
  <c r="G34" i="1"/>
  <c r="I34" i="1"/>
  <c r="E30" i="1"/>
  <c r="F30" i="1"/>
  <c r="G30" i="1"/>
  <c r="I30" i="1"/>
  <c r="E26" i="1"/>
  <c r="F26" i="1"/>
  <c r="E40" i="1"/>
  <c r="F40" i="1"/>
  <c r="G40" i="1"/>
  <c r="I40" i="1"/>
  <c r="G48" i="1"/>
  <c r="K48" i="1"/>
  <c r="E46" i="1"/>
  <c r="F46" i="1"/>
  <c r="G46" i="1"/>
  <c r="K46" i="1"/>
  <c r="G45" i="1"/>
  <c r="K45" i="1"/>
  <c r="E43" i="1"/>
  <c r="F43" i="1"/>
  <c r="G43" i="1"/>
  <c r="K43" i="1"/>
  <c r="E22" i="1"/>
  <c r="F22" i="1"/>
  <c r="G22" i="1"/>
  <c r="I22" i="1"/>
  <c r="E33" i="1"/>
  <c r="F33" i="1"/>
  <c r="G33" i="1"/>
  <c r="I33" i="1"/>
  <c r="E29" i="1"/>
  <c r="F29" i="1"/>
  <c r="G29" i="1"/>
  <c r="I29" i="1"/>
  <c r="E38" i="1"/>
  <c r="F38" i="1"/>
  <c r="G38" i="1"/>
  <c r="I38" i="1"/>
  <c r="K42" i="1"/>
  <c r="E24" i="2"/>
  <c r="E21" i="2"/>
  <c r="E11" i="2"/>
  <c r="E34" i="2"/>
  <c r="E12" i="2"/>
  <c r="E16" i="2"/>
  <c r="E22" i="2"/>
  <c r="E36" i="2"/>
  <c r="E19" i="2"/>
  <c r="E32" i="2"/>
  <c r="E23" i="2"/>
  <c r="E25" i="2"/>
  <c r="E33" i="2"/>
  <c r="E37" i="2"/>
  <c r="E20" i="2"/>
  <c r="E35" i="2"/>
  <c r="E29" i="2"/>
  <c r="E13" i="2"/>
  <c r="C11" i="1"/>
  <c r="C12" i="1"/>
  <c r="C16" i="1" l="1"/>
  <c r="D18" i="1" s="1"/>
  <c r="C15" i="1"/>
  <c r="O43" i="1"/>
  <c r="O45" i="1"/>
  <c r="O44" i="1"/>
  <c r="O47" i="1"/>
  <c r="O48" i="1"/>
  <c r="O41" i="1"/>
  <c r="O46" i="1"/>
  <c r="O40" i="1"/>
  <c r="O42" i="1"/>
  <c r="C18" i="1" l="1"/>
  <c r="F18" i="1"/>
  <c r="F19" i="1" s="1"/>
</calcChain>
</file>

<file path=xl/sharedStrings.xml><?xml version="1.0" encoding="utf-8"?>
<sst xmlns="http://schemas.openxmlformats.org/spreadsheetml/2006/main" count="324" uniqueCount="148">
  <si>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</si>
  <si>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</si>
  <si>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</si>
  <si>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</si>
  <si>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</si>
  <si>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</si>
  <si>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</si>
  <si>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</si>
  <si>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</si>
  <si>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</si>
  <si>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</si>
  <si>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</si>
  <si>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</si>
  <si>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</si>
  <si>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</si>
  <si>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</si>
  <si>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</si>
  <si>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</si>
  <si>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</si>
  <si>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</si>
  <si>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</si>
  <si>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</si>
  <si>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</si>
  <si>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</si>
  <si>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</si>
  <si>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IBVS 5583</t>
  </si>
  <si>
    <t>II</t>
  </si>
  <si>
    <t>I</t>
  </si>
  <si>
    <t>EW/KW:</t>
  </si>
  <si>
    <t># of data points:</t>
  </si>
  <si>
    <t>V1341 Aql / gsc 5115-0559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</si>
  <si>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</si>
  <si>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</si>
  <si>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</si>
  <si>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</si>
  <si>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</si>
  <si>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</si>
  <si>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</si>
  <si>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5945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</si>
  <si>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</si>
  <si>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</si>
  <si>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</si>
  <si>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</si>
  <si>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</si>
  <si>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</si>
  <si>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</si>
  <si>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</si>
  <si>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</si>
  <si>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</si>
  <si>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</si>
  <si>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</si>
  <si>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2432740.410 </t>
  </si>
  <si>
    <t> 07.07.1948 21:50 </t>
  </si>
  <si>
    <t> 0.193 </t>
  </si>
  <si>
    <t>P </t>
  </si>
  <si>
    <t> N.E.Kurochkin </t>
  </si>
  <si>
    <t> PZP 3.428 </t>
  </si>
  <si>
    <t>2432761.402 </t>
  </si>
  <si>
    <t> 28.07.1948 21:38 </t>
  </si>
  <si>
    <t> 0.208 </t>
  </si>
  <si>
    <t>2433061.458 </t>
  </si>
  <si>
    <t> 24.05.1949 22:59 </t>
  </si>
  <si>
    <t> 0.203 </t>
  </si>
  <si>
    <t>2433117.376 </t>
  </si>
  <si>
    <t> 19.07.1949 21:01 </t>
  </si>
  <si>
    <t> 0.182 </t>
  </si>
  <si>
    <t>2433483.406 </t>
  </si>
  <si>
    <t> 20.07.1950 21:44 </t>
  </si>
  <si>
    <t> 0.180 </t>
  </si>
  <si>
    <t>2433486.463 </t>
  </si>
  <si>
    <t> 23.07.1950 23:06 </t>
  </si>
  <si>
    <t> 0.197 </t>
  </si>
  <si>
    <t>2435366.255 </t>
  </si>
  <si>
    <t> 15.09.1955 18:07 </t>
  </si>
  <si>
    <t> 0.123 </t>
  </si>
  <si>
    <t>2435398.369 </t>
  </si>
  <si>
    <t> 17.10.1955 20:51 </t>
  </si>
  <si>
    <t> 0.164 </t>
  </si>
  <si>
    <t>2436074.315 </t>
  </si>
  <si>
    <t> 23.08.1957 19:33 </t>
  </si>
  <si>
    <t> 0.136 </t>
  </si>
  <si>
    <t>2436451.299 </t>
  </si>
  <si>
    <t> 04.09.1958 19:10 </t>
  </si>
  <si>
    <t> 0.144 </t>
  </si>
  <si>
    <t>2437525.319 </t>
  </si>
  <si>
    <t> 13.08.1961 19:39 </t>
  </si>
  <si>
    <t> 0.085 </t>
  </si>
  <si>
    <t>2437526.421 </t>
  </si>
  <si>
    <t> 14.08.1961 22:06 </t>
  </si>
  <si>
    <t>2437571.244 </t>
  </si>
  <si>
    <t> 28.09.1961 17:51 </t>
  </si>
  <si>
    <t> 0.104 </t>
  </si>
  <si>
    <t>2437847.439 </t>
  </si>
  <si>
    <t> 01.07.1962 22:32 </t>
  </si>
  <si>
    <t> 0.103 </t>
  </si>
  <si>
    <t>2437850.478 </t>
  </si>
  <si>
    <t> 04.07.1962 23:28 </t>
  </si>
  <si>
    <t> 0.101 </t>
  </si>
  <si>
    <t>2437854.408 </t>
  </si>
  <si>
    <t> 08.07.1962 21:47 </t>
  </si>
  <si>
    <t> 0.079 </t>
  </si>
  <si>
    <t>2437872.347 </t>
  </si>
  <si>
    <t> 26.07.1962 20:19 </t>
  </si>
  <si>
    <t> 0.081 </t>
  </si>
  <si>
    <t>2437874.328 </t>
  </si>
  <si>
    <t> 28.07.1962 19:52 </t>
  </si>
  <si>
    <t> 0.086 </t>
  </si>
  <si>
    <t>2437876.330 </t>
  </si>
  <si>
    <t> 30.07.1962 19:55 </t>
  </si>
  <si>
    <t> 0.112 </t>
  </si>
  <si>
    <t>2438254.337 </t>
  </si>
  <si>
    <t> 12.08.1963 20:05 </t>
  </si>
  <si>
    <t>2438621.432 </t>
  </si>
  <si>
    <t> 13.08.1964 22:22 </t>
  </si>
  <si>
    <t> 0.078 </t>
  </si>
  <si>
    <t> PZP 3.416 </t>
  </si>
  <si>
    <t>2452147.3672 </t>
  </si>
  <si>
    <t> 25.08.2001 20:48 </t>
  </si>
  <si>
    <t> 0.0051 </t>
  </si>
  <si>
    <t>E </t>
  </si>
  <si>
    <t>?</t>
  </si>
  <si>
    <t> M.Zejda </t>
  </si>
  <si>
    <t>IBVS 5583 </t>
  </si>
  <si>
    <t>2452440.4354 </t>
  </si>
  <si>
    <t> 14.06.2002 22:26 </t>
  </si>
  <si>
    <t> 0.0045 </t>
  </si>
  <si>
    <t>2452859.3619 </t>
  </si>
  <si>
    <t> 07.08.2003 20:41 </t>
  </si>
  <si>
    <t> 0.0007 </t>
  </si>
  <si>
    <t>2452859.5159 </t>
  </si>
  <si>
    <t> 08.08.2003 00:22 </t>
  </si>
  <si>
    <t> 0.0027 </t>
  </si>
  <si>
    <t>2453654.3613 </t>
  </si>
  <si>
    <t> 10.10.2005 20:40 </t>
  </si>
  <si>
    <t> 0.0053 </t>
  </si>
  <si>
    <t>C </t>
  </si>
  <si>
    <t> W.Quester </t>
  </si>
  <si>
    <t>BAVM 178 </t>
  </si>
  <si>
    <t>2455342.8461 </t>
  </si>
  <si>
    <t> 26.05.2010 08:18 </t>
  </si>
  <si>
    <t> 0.0003 </t>
  </si>
  <si>
    <t> R.Diethelm </t>
  </si>
  <si>
    <t>IBVS 5945 </t>
  </si>
  <si>
    <t>Add cycle</t>
  </si>
  <si>
    <t>Old Cycle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</si>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</sst>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9" fillId="0" borderId="0" xfId="0" applyFont="1" applyAlignment="1"/>
    <xf numFmtId="0" fontId="8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>
      <alignment vertical="top"/>
    </xf>
    <xf numFmtId="0" fontId="0" fillId="0" borderId="0" xfId="0" applyAlignment="1">
      <alignment horizont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V1341 Aql - O-C Diagr.</a:t>
            </a:r>
          </a:p>
        </c:rich>
      </c:tx>
      <c:layout>
        <c:manualLayout>
          <c:xMode val="edge"/>
          <c:yMode val="edge"/>
          <c:x val="0.361874329521410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14-4653-ADDB-4AF6CAF783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-2.0126499999605585E-2</c:v>
                </c:pt>
                <c:pt idx="2">
                  <c:v>-4.561200003081467E-3</c:v>
                </c:pt>
                <c:pt idx="3">
                  <c:v>-2.7793000044766814E-3</c:v>
                </c:pt>
                <c:pt idx="4">
                  <c:v>-2.1938500001851935E-2</c:v>
                </c:pt>
                <c:pt idx="5">
                  <c:v>-1.5523699999903329E-2</c:v>
                </c:pt>
                <c:pt idx="6">
                  <c:v>1.4133000004221685E-3</c:v>
                </c:pt>
                <c:pt idx="7">
                  <c:v>-2.9542750002292451E-2</c:v>
                </c:pt>
                <c:pt idx="8">
                  <c:v>1.1792599994805641E-2</c:v>
                </c:pt>
                <c:pt idx="9">
                  <c:v>-2.1544999617617577E-4</c:v>
                </c:pt>
                <c:pt idx="10">
                  <c:v>1.5972549997968599E-2</c:v>
                </c:pt>
                <c:pt idx="11">
                  <c:v>-1.8285350000951439E-2</c:v>
                </c:pt>
                <c:pt idx="12">
                  <c:v>1.9692599998961668E-2</c:v>
                </c:pt>
                <c:pt idx="13">
                  <c:v>1.7633499955991283E-3</c:v>
                </c:pt>
                <c:pt idx="14">
                  <c:v>7.0397999952547252E-3</c:v>
                </c:pt>
                <c:pt idx="15">
                  <c:v>5.9767999991890974E-3</c:v>
                </c:pt>
                <c:pt idx="16">
                  <c:v>-1.6105099995911587E-2</c:v>
                </c:pt>
                <c:pt idx="17">
                  <c:v>-1.3476799998898059E-2</c:v>
                </c:pt>
                <c:pt idx="18">
                  <c:v>-8.51775000046473E-3</c:v>
                </c:pt>
                <c:pt idx="19">
                  <c:v>1.7441299998608883E-2</c:v>
                </c:pt>
                <c:pt idx="20">
                  <c:v>-7.3927499979618005E-3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14-4653-ADDB-4AF6CAF783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6">
                  <c:v>0.2737744499972905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14-4653-ADDB-4AF6CAF783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1">
                  <c:v>0.23890355000185082</c:v>
                </c:pt>
                <c:pt idx="22">
                  <c:v>0.24503035000088857</c:v>
                </c:pt>
                <c:pt idx="23">
                  <c:v>0.24400420000165468</c:v>
                </c:pt>
                <c:pt idx="24">
                  <c:v>0.25084895000327379</c:v>
                </c:pt>
                <c:pt idx="25">
                  <c:v>0.25284580000152346</c:v>
                </c:pt>
                <c:pt idx="27">
                  <c:v>0.30758425000385614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14-4653-ADDB-4AF6CAF783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14-4653-ADDB-4AF6CAF783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14-4653-ADDB-4AF6CAF783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14-4653-ADDB-4AF6CAF783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9">
                  <c:v>-7.7566671465075732E-2</c:v>
                </c:pt>
                <c:pt idx="20">
                  <c:v>-6.9217483377675873E-2</c:v>
                </c:pt>
                <c:pt idx="21">
                  <c:v>0.23761769668351135</c:v>
                </c:pt>
                <c:pt idx="22">
                  <c:v>0.24409024780233202</c:v>
                </c:pt>
                <c:pt idx="23">
                  <c:v>0.24550360051033177</c:v>
                </c:pt>
                <c:pt idx="24">
                  <c:v>0.25334250448462958</c:v>
                </c:pt>
                <c:pt idx="25">
                  <c:v>0.25334586161695261</c:v>
                </c:pt>
                <c:pt idx="26">
                  <c:v>0.27090030653412744</c:v>
                </c:pt>
                <c:pt idx="27">
                  <c:v>0.30819133237845303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14-4653-ADDB-4AF6CAF78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827904"/>
        <c:axId val="1"/>
      </c:scatterChart>
      <c:valAx>
        <c:axId val="703827904"/>
        <c:scaling>
          <c:orientation val="minMax"/>
          <c:min val="4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827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4734246668278"/>
          <c:y val="0.9204921861831491"/>
          <c:w val="0.6558971162530370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V1341 Aql - O-C Diagr.</a:t>
            </a:r>
          </a:p>
        </c:rich>
      </c:tx>
      <c:layout>
        <c:manualLayout>
          <c:xMode val="edge"/>
          <c:yMode val="edge"/>
          <c:x val="0.3612903225806451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64516129032257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F4-4522-9CB6-797F3908B0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-2.0126499999605585E-2</c:v>
                </c:pt>
                <c:pt idx="2">
                  <c:v>-4.561200003081467E-3</c:v>
                </c:pt>
                <c:pt idx="3">
                  <c:v>-2.7793000044766814E-3</c:v>
                </c:pt>
                <c:pt idx="4">
                  <c:v>-2.1938500001851935E-2</c:v>
                </c:pt>
                <c:pt idx="5">
                  <c:v>-1.5523699999903329E-2</c:v>
                </c:pt>
                <c:pt idx="6">
                  <c:v>1.4133000004221685E-3</c:v>
                </c:pt>
                <c:pt idx="7">
                  <c:v>-2.9542750002292451E-2</c:v>
                </c:pt>
                <c:pt idx="8">
                  <c:v>1.1792599994805641E-2</c:v>
                </c:pt>
                <c:pt idx="9">
                  <c:v>-2.1544999617617577E-4</c:v>
                </c:pt>
                <c:pt idx="10">
                  <c:v>1.5972549997968599E-2</c:v>
                </c:pt>
                <c:pt idx="11">
                  <c:v>-1.8285350000951439E-2</c:v>
                </c:pt>
                <c:pt idx="12">
                  <c:v>1.9692599998961668E-2</c:v>
                </c:pt>
                <c:pt idx="13">
                  <c:v>1.7633499955991283E-3</c:v>
                </c:pt>
                <c:pt idx="14">
                  <c:v>7.0397999952547252E-3</c:v>
                </c:pt>
                <c:pt idx="15">
                  <c:v>5.9767999991890974E-3</c:v>
                </c:pt>
                <c:pt idx="16">
                  <c:v>-1.6105099995911587E-2</c:v>
                </c:pt>
                <c:pt idx="17">
                  <c:v>-1.3476799998898059E-2</c:v>
                </c:pt>
                <c:pt idx="18">
                  <c:v>-8.51775000046473E-3</c:v>
                </c:pt>
                <c:pt idx="19">
                  <c:v>1.7441299998608883E-2</c:v>
                </c:pt>
                <c:pt idx="20">
                  <c:v>-7.3927499979618005E-3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F4-4522-9CB6-797F3908B0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6">
                  <c:v>0.2737744499972905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F4-4522-9CB6-797F3908B0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1">
                  <c:v>0.23890355000185082</c:v>
                </c:pt>
                <c:pt idx="22">
                  <c:v>0.24503035000088857</c:v>
                </c:pt>
                <c:pt idx="23">
                  <c:v>0.24400420000165468</c:v>
                </c:pt>
                <c:pt idx="24">
                  <c:v>0.25084895000327379</c:v>
                </c:pt>
                <c:pt idx="25">
                  <c:v>0.25284580000152346</c:v>
                </c:pt>
                <c:pt idx="27">
                  <c:v>0.30758425000385614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F4-4522-9CB6-797F3908B0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F4-4522-9CB6-797F3908B0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F4-4522-9CB6-797F3908B0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4.5999999999999999E-3</c:v>
                  </c:pt>
                  <c:pt idx="22">
                    <c:v>4.8999999999999998E-3</c:v>
                  </c:pt>
                  <c:pt idx="23">
                    <c:v>3.3999999999999998E-3</c:v>
                  </c:pt>
                  <c:pt idx="24">
                    <c:v>2.2000000000000001E-3</c:v>
                  </c:pt>
                  <c:pt idx="25">
                    <c:v>2.2000000000000001E-3</c:v>
                  </c:pt>
                  <c:pt idx="26">
                    <c:v>1E-3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F4-4522-9CB6-797F3908B0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-19345</c:v>
                </c:pt>
                <c:pt idx="2">
                  <c:v>-19276</c:v>
                </c:pt>
                <c:pt idx="3">
                  <c:v>-18289</c:v>
                </c:pt>
                <c:pt idx="4">
                  <c:v>-18105</c:v>
                </c:pt>
                <c:pt idx="5">
                  <c:v>-16901</c:v>
                </c:pt>
                <c:pt idx="6">
                  <c:v>-16891</c:v>
                </c:pt>
                <c:pt idx="7">
                  <c:v>-10707.5</c:v>
                </c:pt>
                <c:pt idx="8">
                  <c:v>-10602</c:v>
                </c:pt>
                <c:pt idx="9">
                  <c:v>-8378.5</c:v>
                </c:pt>
                <c:pt idx="10">
                  <c:v>-7138.5</c:v>
                </c:pt>
                <c:pt idx="11">
                  <c:v>-3605.5</c:v>
                </c:pt>
                <c:pt idx="12">
                  <c:v>-3602</c:v>
                </c:pt>
                <c:pt idx="13">
                  <c:v>-3454.5</c:v>
                </c:pt>
                <c:pt idx="14">
                  <c:v>-2546</c:v>
                </c:pt>
                <c:pt idx="15">
                  <c:v>-2536</c:v>
                </c:pt>
                <c:pt idx="16">
                  <c:v>-2523</c:v>
                </c:pt>
                <c:pt idx="17">
                  <c:v>-2464</c:v>
                </c:pt>
                <c:pt idx="18">
                  <c:v>-2457.5</c:v>
                </c:pt>
                <c:pt idx="19">
                  <c:v>-2451</c:v>
                </c:pt>
                <c:pt idx="20">
                  <c:v>-1207.5</c:v>
                </c:pt>
                <c:pt idx="21">
                  <c:v>44491.5</c:v>
                </c:pt>
                <c:pt idx="22">
                  <c:v>45455.5</c:v>
                </c:pt>
                <c:pt idx="23">
                  <c:v>45666</c:v>
                </c:pt>
                <c:pt idx="24">
                  <c:v>46833.5</c:v>
                </c:pt>
                <c:pt idx="25">
                  <c:v>46834</c:v>
                </c:pt>
                <c:pt idx="26">
                  <c:v>49448.5</c:v>
                </c:pt>
                <c:pt idx="27">
                  <c:v>55002.5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9">
                  <c:v>-7.7566671465075732E-2</c:v>
                </c:pt>
                <c:pt idx="20">
                  <c:v>-6.9217483377675873E-2</c:v>
                </c:pt>
                <c:pt idx="21">
                  <c:v>0.23761769668351135</c:v>
                </c:pt>
                <c:pt idx="22">
                  <c:v>0.24409024780233202</c:v>
                </c:pt>
                <c:pt idx="23">
                  <c:v>0.24550360051033177</c:v>
                </c:pt>
                <c:pt idx="24">
                  <c:v>0.25334250448462958</c:v>
                </c:pt>
                <c:pt idx="25">
                  <c:v>0.25334586161695261</c:v>
                </c:pt>
                <c:pt idx="26">
                  <c:v>0.27090030653412744</c:v>
                </c:pt>
                <c:pt idx="27">
                  <c:v>0.30819133237845303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F4-4522-9CB6-797F3908B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258504"/>
        <c:axId val="1"/>
      </c:scatterChart>
      <c:valAx>
        <c:axId val="528258504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258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51612903225806"/>
          <c:y val="0.92073298764483702"/>
          <c:w val="0.6548387096774193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18</xdr:col>
      <xdr:colOff>19050</xdr:colOff>
      <xdr:row>18</xdr:row>
      <xdr:rowOff>57150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2EBFBFE-AD79-C353-2404-706923192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228600</xdr:colOff>
      <xdr:row>0</xdr:row>
      <xdr:rowOff>9525</xdr:rowOff>
    </xdr:from>
    <xdr:to>
      <xdr:col>26</xdr:col>
      <xdr:colOff>647700</xdr:colOff>
      <xdr:row>18</xdr:row>
      <xdr:rowOff>57150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D378E610-9DFA-9669-6518-275BBEF34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konkoly.hu/cgi-bin/IBVS?5945" TargetMode="External"/><Relationship Id="rId2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konkoly.hu/cgi-bin/IBVS?5583" TargetMode="External"/><Relationship Id="rId4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30" activePane="bottomRight" state="frozen"/>
      <selection pane="topRight" activeCell="O1" sqref="O1"/>
      <selection pane="bottomLeft" activeCell="A23" sqref="A23"/>
      <selection pane="bottomRight" activeCell="A48" sqref="A4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855468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30</v>
      </c>
      <c r="C1" s="11"/>
    </row>
    <row r="2" spans="1:6">
      <c r="A2" t="s">
        <v>24</v>
      </c>
      <c r="B2" s="13" t="s">
        <v>28</v>
      </c>
    </row>
    <row r="4" spans="1:6" ht="14.25" thickTop="1" thickBot="1">
      <c r="A4" s="7" t="s">
        <v>0</v>
      </c>
      <c r="C4" s="3">
        <v>38621.432000000001</v>
      </c>
      <c r="D4" s="4">
        <v>0.30400630000000001</v>
      </c>
    </row>
    <row r="5" spans="1:6" ht="13.5" thickTop="1">
      <c r="A5" s="15" t="s">
        <v>32</v>
      </c>
      <c r="B5" s="13"/>
      <c r="C5" s="16">
        <v>-9.5</v>
      </c>
      <c r="D5" s="13" t="s">
        <v>33</v>
      </c>
    </row>
    <row r="6" spans="1:6">
      <c r="A6" s="7" t="s">
        <v>1</v>
      </c>
    </row>
    <row r="7" spans="1:6">
      <c r="A7" t="s">
        <v>2</v>
      </c>
      <c r="C7">
        <f>+C4</f>
        <v>38621.432000000001</v>
      </c>
    </row>
    <row r="8" spans="1:6">
      <c r="A8" t="s">
        <v>3</v>
      </c>
      <c r="C8">
        <f>+D4</f>
        <v>0.30400630000000001</v>
      </c>
    </row>
    <row r="9" spans="1:6">
      <c r="A9" s="27" t="s">
        <v>37</v>
      </c>
      <c r="B9" s="28">
        <v>42</v>
      </c>
      <c r="C9" s="17" t="str">
        <f>"F"&amp;B9</f>
        <v>F42</v>
      </c>
      <c r="D9" s="12" t="str">
        <f>"G"&amp;B9</f>
        <v>G42</v>
      </c>
    </row>
    <row r="10" spans="1:6" ht="13.5" thickBot="1">
      <c r="A10" s="13"/>
      <c r="B10" s="13"/>
      <c r="C10" s="6" t="s">
        <v>20</v>
      </c>
      <c r="D10" s="6" t="s">
        <v>21</v>
      </c>
      <c r="E10" s="13"/>
    </row>
    <row r="11" spans="1:6">
      <c r="A11" s="13" t="s">
        <v>16</v>
      </c>
      <c r="B11" s="13"/>
      <c r="C11" s="10">
        <f ca="1">INTERCEPT(INDIRECT($D$9):G992,INDIRECT($C$9):F992)</f>
        <v>-6.1110008817534867E-2</v>
      </c>
      <c r="D11" s="5"/>
      <c r="E11" s="13"/>
    </row>
    <row r="12" spans="1:6">
      <c r="A12" s="13" t="s">
        <v>17</v>
      </c>
      <c r="B12" s="13"/>
      <c r="C12" s="10">
        <f ca="1">SLOPE(INDIRECT($D$9):G992,INDIRECT($C$9):F992)</f>
        <v>6.7142646460795035E-6</v>
      </c>
      <c r="D12" s="5"/>
      <c r="E12" s="13"/>
    </row>
    <row r="13" spans="1:6">
      <c r="A13" s="13" t="s">
        <v>19</v>
      </c>
      <c r="B13" s="13"/>
      <c r="C13" s="5" t="s">
        <v>14</v>
      </c>
      <c r="D13" s="5"/>
      <c r="E13" s="13"/>
    </row>
    <row r="14" spans="1:6">
      <c r="A14" s="13"/>
      <c r="B14" s="13"/>
      <c r="C14" s="13"/>
      <c r="D14" s="13"/>
      <c r="E14" s="13"/>
    </row>
    <row r="15" spans="1:6">
      <c r="A15" s="18" t="s">
        <v>18</v>
      </c>
      <c r="B15" s="13"/>
      <c r="C15" s="19">
        <f ca="1">(C7+C11)+(C8+C12)*INT(MAX(F21:F3533))</f>
        <v>55342.694700575244</v>
      </c>
      <c r="E15" s="20" t="s">
        <v>143</v>
      </c>
      <c r="F15" s="16">
        <v>1</v>
      </c>
    </row>
    <row r="16" spans="1:6">
      <c r="A16" s="22" t="s">
        <v>4</v>
      </c>
      <c r="B16" s="13"/>
      <c r="C16" s="23">
        <f ca="1">+C8+C12</f>
        <v>0.30401301426464611</v>
      </c>
      <c r="E16" s="20" t="s">
        <v>34</v>
      </c>
      <c r="F16" s="21">
        <f ca="1">NOW()+15018.5+$C$5/24</f>
        <v>60320.740210069445</v>
      </c>
    </row>
    <row r="17" spans="1:17" ht="13.5" thickBot="1">
      <c r="A17" s="20" t="s">
        <v>29</v>
      </c>
      <c r="B17" s="13"/>
      <c r="C17" s="13">
        <f>COUNT(C21:C2191)</f>
        <v>28</v>
      </c>
      <c r="E17" s="20" t="s">
        <v>144</v>
      </c>
      <c r="F17" s="21">
        <f ca="1">ROUND(2*(F16-$C$7)/$C$8,0)/2+F15</f>
        <v>71379</v>
      </c>
    </row>
    <row r="18" spans="1:17" ht="14.25" thickTop="1" thickBot="1">
      <c r="A18" s="22" t="s">
        <v>5</v>
      </c>
      <c r="B18" s="13"/>
      <c r="C18" s="25">
        <f ca="1">+C15</f>
        <v>55342.694700575244</v>
      </c>
      <c r="D18" s="26">
        <f ca="1">+C16</f>
        <v>0.30401301426464611</v>
      </c>
      <c r="E18" s="20" t="s">
        <v>35</v>
      </c>
      <c r="F18" s="12">
        <f ca="1">ROUND(2*(F16-$C$15)/$C$16,0)/2+F15</f>
        <v>16375.5</v>
      </c>
    </row>
    <row r="19" spans="1:17" ht="13.5" thickTop="1">
      <c r="E19" s="20" t="s">
        <v>36</v>
      </c>
      <c r="F19" s="24">
        <f ca="1">+$C$15+$C$16*F18-15018.5-$C$5/24</f>
        <v>45302.95564899929</v>
      </c>
    </row>
    <row r="20" spans="1:17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46</v>
      </c>
      <c r="I20" s="9" t="s">
        <v>49</v>
      </c>
      <c r="J20" s="9" t="s">
        <v>43</v>
      </c>
      <c r="K20" s="9" t="s">
        <v>41</v>
      </c>
      <c r="L20" s="9" t="s">
        <v>145</v>
      </c>
      <c r="M20" s="9" t="s">
        <v>146</v>
      </c>
      <c r="N20" s="9" t="s">
        <v>147</v>
      </c>
      <c r="O20" s="9" t="s">
        <v>23</v>
      </c>
      <c r="P20" s="8" t="s">
        <v>22</v>
      </c>
      <c r="Q20" s="6" t="s">
        <v>15</v>
      </c>
    </row>
    <row r="21" spans="1:17">
      <c r="A21" t="s">
        <v>12</v>
      </c>
      <c r="B21" s="5"/>
      <c r="C21" s="14">
        <f>+C4</f>
        <v>38621.432000000001</v>
      </c>
      <c r="D21" s="14" t="s">
        <v>14</v>
      </c>
      <c r="E21">
        <f t="shared" ref="E21:E48" si="0">+(C21-C$7)/C$8</f>
        <v>0</v>
      </c>
      <c r="F21">
        <f t="shared" ref="F21:F41" si="1">ROUND(2*E21,0)/2</f>
        <v>0</v>
      </c>
      <c r="H21" s="12">
        <v>0</v>
      </c>
      <c r="Q21" s="2">
        <f t="shared" ref="Q21:Q48" si="2">+C21-15018.5</f>
        <v>23602.932000000001</v>
      </c>
    </row>
    <row r="22" spans="1:17">
      <c r="A22" s="12" t="s">
        <v>56</v>
      </c>
      <c r="B22" s="5" t="s">
        <v>27</v>
      </c>
      <c r="C22" s="14">
        <v>32740.41</v>
      </c>
      <c r="D22" s="14" t="s">
        <v>49</v>
      </c>
      <c r="E22">
        <f t="shared" si="0"/>
        <v>-19345.066204220111</v>
      </c>
      <c r="F22">
        <f t="shared" si="1"/>
        <v>-19345</v>
      </c>
      <c r="G22">
        <f t="shared" ref="G22:G48" si="3">+C22-(C$7+F22*C$8)</f>
        <v>-2.0126499999605585E-2</v>
      </c>
      <c r="I22">
        <f t="shared" ref="I22:I41" si="4">+G22</f>
        <v>-2.0126499999605585E-2</v>
      </c>
      <c r="Q22" s="2">
        <f t="shared" si="2"/>
        <v>17721.91</v>
      </c>
    </row>
    <row r="23" spans="1:17">
      <c r="A23" s="12" t="s">
        <v>56</v>
      </c>
      <c r="B23" s="5" t="s">
        <v>27</v>
      </c>
      <c r="C23" s="14">
        <v>32761.401999999998</v>
      </c>
      <c r="D23" s="14" t="s">
        <v>49</v>
      </c>
      <c r="E23">
        <f t="shared" si="0"/>
        <v>-19276.015003636447</v>
      </c>
      <c r="F23">
        <f t="shared" si="1"/>
        <v>-19276</v>
      </c>
      <c r="G23">
        <f t="shared" si="3"/>
        <v>-4.561200003081467E-3</v>
      </c>
      <c r="I23">
        <f t="shared" si="4"/>
        <v>-4.561200003081467E-3</v>
      </c>
      <c r="Q23" s="2">
        <f t="shared" si="2"/>
        <v>17742.901999999998</v>
      </c>
    </row>
    <row r="24" spans="1:17">
      <c r="A24" s="12" t="s">
        <v>56</v>
      </c>
      <c r="B24" s="5" t="s">
        <v>27</v>
      </c>
      <c r="C24" s="14">
        <v>33061.457999999999</v>
      </c>
      <c r="D24" s="14" t="s">
        <v>49</v>
      </c>
      <c r="E24">
        <f t="shared" si="0"/>
        <v>-18289.009142244755</v>
      </c>
      <c r="F24">
        <f t="shared" si="1"/>
        <v>-18289</v>
      </c>
      <c r="G24">
        <f t="shared" si="3"/>
        <v>-2.7793000044766814E-3</v>
      </c>
      <c r="I24">
        <f t="shared" si="4"/>
        <v>-2.7793000044766814E-3</v>
      </c>
      <c r="Q24" s="2">
        <f t="shared" si="2"/>
        <v>18042.957999999999</v>
      </c>
    </row>
    <row r="25" spans="1:17">
      <c r="A25" s="12" t="s">
        <v>56</v>
      </c>
      <c r="B25" s="5" t="s">
        <v>27</v>
      </c>
      <c r="C25" s="14">
        <v>33117.375999999997</v>
      </c>
      <c r="D25" s="14" t="s">
        <v>49</v>
      </c>
      <c r="E25">
        <f t="shared" si="0"/>
        <v>-18105.072164622918</v>
      </c>
      <c r="F25">
        <f t="shared" si="1"/>
        <v>-18105</v>
      </c>
      <c r="G25">
        <f t="shared" si="3"/>
        <v>-2.1938500001851935E-2</v>
      </c>
      <c r="I25">
        <f t="shared" si="4"/>
        <v>-2.1938500001851935E-2</v>
      </c>
      <c r="Q25" s="2">
        <f t="shared" si="2"/>
        <v>18098.875999999997</v>
      </c>
    </row>
    <row r="26" spans="1:17">
      <c r="A26" s="12" t="s">
        <v>56</v>
      </c>
      <c r="B26" s="5" t="s">
        <v>27</v>
      </c>
      <c r="C26" s="14">
        <v>33483.406000000003</v>
      </c>
      <c r="D26" s="14" t="s">
        <v>49</v>
      </c>
      <c r="E26">
        <f t="shared" si="0"/>
        <v>-16901.051063744395</v>
      </c>
      <c r="F26">
        <f t="shared" si="1"/>
        <v>-16901</v>
      </c>
      <c r="G26">
        <f t="shared" si="3"/>
        <v>-1.5523699999903329E-2</v>
      </c>
      <c r="I26">
        <f t="shared" si="4"/>
        <v>-1.5523699999903329E-2</v>
      </c>
      <c r="Q26" s="2">
        <f t="shared" si="2"/>
        <v>18464.906000000003</v>
      </c>
    </row>
    <row r="27" spans="1:17">
      <c r="A27" s="12" t="s">
        <v>56</v>
      </c>
      <c r="B27" s="5" t="s">
        <v>27</v>
      </c>
      <c r="C27" s="14">
        <v>33486.463000000003</v>
      </c>
      <c r="D27" s="14" t="s">
        <v>49</v>
      </c>
      <c r="E27">
        <f t="shared" si="0"/>
        <v>-16890.995351083177</v>
      </c>
      <c r="F27">
        <f t="shared" si="1"/>
        <v>-16891</v>
      </c>
      <c r="G27">
        <f t="shared" si="3"/>
        <v>1.4133000004221685E-3</v>
      </c>
      <c r="I27">
        <f t="shared" si="4"/>
        <v>1.4133000004221685E-3</v>
      </c>
      <c r="Q27" s="2">
        <f t="shared" si="2"/>
        <v>18467.963000000003</v>
      </c>
    </row>
    <row r="28" spans="1:17">
      <c r="A28" s="12" t="s">
        <v>56</v>
      </c>
      <c r="B28" s="5" t="s">
        <v>26</v>
      </c>
      <c r="C28" s="14">
        <v>35366.254999999997</v>
      </c>
      <c r="D28" s="14" t="s">
        <v>49</v>
      </c>
      <c r="E28">
        <f t="shared" si="0"/>
        <v>-10707.597178084807</v>
      </c>
      <c r="F28">
        <f t="shared" si="1"/>
        <v>-10707.5</v>
      </c>
      <c r="G28">
        <f t="shared" si="3"/>
        <v>-2.9542750002292451E-2</v>
      </c>
      <c r="I28">
        <f t="shared" si="4"/>
        <v>-2.9542750002292451E-2</v>
      </c>
      <c r="Q28" s="2">
        <f t="shared" si="2"/>
        <v>20347.754999999997</v>
      </c>
    </row>
    <row r="29" spans="1:17">
      <c r="A29" s="12" t="s">
        <v>56</v>
      </c>
      <c r="B29" s="5" t="s">
        <v>27</v>
      </c>
      <c r="C29" s="14">
        <v>35398.368999999999</v>
      </c>
      <c r="D29" s="14" t="s">
        <v>49</v>
      </c>
      <c r="E29">
        <f t="shared" si="0"/>
        <v>-10601.961209356523</v>
      </c>
      <c r="F29">
        <f t="shared" si="1"/>
        <v>-10602</v>
      </c>
      <c r="G29">
        <f t="shared" si="3"/>
        <v>1.1792599994805641E-2</v>
      </c>
      <c r="I29">
        <f t="shared" si="4"/>
        <v>1.1792599994805641E-2</v>
      </c>
      <c r="Q29" s="2">
        <f t="shared" si="2"/>
        <v>20379.868999999999</v>
      </c>
    </row>
    <row r="30" spans="1:17">
      <c r="A30" s="12" t="s">
        <v>56</v>
      </c>
      <c r="B30" s="5" t="s">
        <v>26</v>
      </c>
      <c r="C30" s="14">
        <v>36074.315000000002</v>
      </c>
      <c r="D30" s="14" t="s">
        <v>49</v>
      </c>
      <c r="E30">
        <f t="shared" si="0"/>
        <v>-8378.5007087024132</v>
      </c>
      <c r="F30">
        <f t="shared" si="1"/>
        <v>-8378.5</v>
      </c>
      <c r="G30">
        <f t="shared" si="3"/>
        <v>-2.1544999617617577E-4</v>
      </c>
      <c r="I30">
        <f t="shared" si="4"/>
        <v>-2.1544999617617577E-4</v>
      </c>
      <c r="Q30" s="2">
        <f t="shared" si="2"/>
        <v>21055.815000000002</v>
      </c>
    </row>
    <row r="31" spans="1:17">
      <c r="A31" s="12" t="s">
        <v>56</v>
      </c>
      <c r="B31" s="5" t="s">
        <v>26</v>
      </c>
      <c r="C31" s="14">
        <v>36451.298999999999</v>
      </c>
      <c r="D31" s="14" t="s">
        <v>49</v>
      </c>
      <c r="E31">
        <f t="shared" si="0"/>
        <v>-7138.4474598059369</v>
      </c>
      <c r="F31">
        <f t="shared" si="1"/>
        <v>-7138.5</v>
      </c>
      <c r="G31">
        <f t="shared" si="3"/>
        <v>1.5972549997968599E-2</v>
      </c>
      <c r="I31">
        <f t="shared" si="4"/>
        <v>1.5972549997968599E-2</v>
      </c>
      <c r="Q31" s="2">
        <f t="shared" si="2"/>
        <v>21432.798999999999</v>
      </c>
    </row>
    <row r="32" spans="1:17">
      <c r="A32" s="12" t="s">
        <v>56</v>
      </c>
      <c r="B32" s="5" t="s">
        <v>26</v>
      </c>
      <c r="C32" s="14">
        <v>37525.319000000003</v>
      </c>
      <c r="D32" s="14" t="s">
        <v>49</v>
      </c>
      <c r="E32">
        <f t="shared" si="0"/>
        <v>-3605.5601479311367</v>
      </c>
      <c r="F32">
        <f t="shared" si="1"/>
        <v>-3605.5</v>
      </c>
      <c r="G32">
        <f t="shared" si="3"/>
        <v>-1.8285350000951439E-2</v>
      </c>
      <c r="I32">
        <f t="shared" si="4"/>
        <v>-1.8285350000951439E-2</v>
      </c>
      <c r="Q32" s="2">
        <f t="shared" si="2"/>
        <v>22506.819000000003</v>
      </c>
    </row>
    <row r="33" spans="1:17">
      <c r="A33" s="12" t="s">
        <v>56</v>
      </c>
      <c r="B33" s="5" t="s">
        <v>27</v>
      </c>
      <c r="C33" s="14">
        <v>37526.421000000002</v>
      </c>
      <c r="D33" s="14" t="s">
        <v>49</v>
      </c>
      <c r="E33">
        <f t="shared" si="0"/>
        <v>-3601.9352230529385</v>
      </c>
      <c r="F33">
        <f t="shared" si="1"/>
        <v>-3602</v>
      </c>
      <c r="G33">
        <f t="shared" si="3"/>
        <v>1.9692599998961668E-2</v>
      </c>
      <c r="I33">
        <f t="shared" si="4"/>
        <v>1.9692599998961668E-2</v>
      </c>
      <c r="Q33" s="2">
        <f t="shared" si="2"/>
        <v>22507.921000000002</v>
      </c>
    </row>
    <row r="34" spans="1:17">
      <c r="A34" s="12" t="s">
        <v>56</v>
      </c>
      <c r="B34" s="5" t="s">
        <v>26</v>
      </c>
      <c r="C34" s="14">
        <v>37571.243999999999</v>
      </c>
      <c r="D34" s="14" t="s">
        <v>49</v>
      </c>
      <c r="E34">
        <f t="shared" si="0"/>
        <v>-3454.4941996267903</v>
      </c>
      <c r="F34">
        <f t="shared" si="1"/>
        <v>-3454.5</v>
      </c>
      <c r="G34">
        <f t="shared" si="3"/>
        <v>1.7633499955991283E-3</v>
      </c>
      <c r="I34">
        <f t="shared" si="4"/>
        <v>1.7633499955991283E-3</v>
      </c>
      <c r="Q34" s="2">
        <f t="shared" si="2"/>
        <v>22552.743999999999</v>
      </c>
    </row>
    <row r="35" spans="1:17">
      <c r="A35" s="12" t="s">
        <v>56</v>
      </c>
      <c r="B35" s="5" t="s">
        <v>27</v>
      </c>
      <c r="C35" s="14">
        <v>37847.438999999998</v>
      </c>
      <c r="D35" s="14" t="s">
        <v>49</v>
      </c>
      <c r="E35">
        <f t="shared" si="0"/>
        <v>-2545.9768432430583</v>
      </c>
      <c r="F35">
        <f t="shared" si="1"/>
        <v>-2546</v>
      </c>
      <c r="G35">
        <f t="shared" si="3"/>
        <v>7.0397999952547252E-3</v>
      </c>
      <c r="I35">
        <f t="shared" si="4"/>
        <v>7.0397999952547252E-3</v>
      </c>
      <c r="Q35" s="2">
        <f t="shared" si="2"/>
        <v>22828.938999999998</v>
      </c>
    </row>
    <row r="36" spans="1:17">
      <c r="A36" s="12" t="s">
        <v>56</v>
      </c>
      <c r="B36" s="5" t="s">
        <v>27</v>
      </c>
      <c r="C36" s="14">
        <v>37850.478000000003</v>
      </c>
      <c r="D36" s="14" t="s">
        <v>49</v>
      </c>
      <c r="E36">
        <f t="shared" si="0"/>
        <v>-2535.9803398811073</v>
      </c>
      <c r="F36">
        <f t="shared" si="1"/>
        <v>-2536</v>
      </c>
      <c r="G36">
        <f t="shared" si="3"/>
        <v>5.9767999991890974E-3</v>
      </c>
      <c r="I36">
        <f t="shared" si="4"/>
        <v>5.9767999991890974E-3</v>
      </c>
      <c r="Q36" s="2">
        <f t="shared" si="2"/>
        <v>22831.978000000003</v>
      </c>
    </row>
    <row r="37" spans="1:17">
      <c r="A37" s="12" t="s">
        <v>56</v>
      </c>
      <c r="B37" s="5" t="s">
        <v>27</v>
      </c>
      <c r="C37" s="14">
        <v>37854.408000000003</v>
      </c>
      <c r="D37" s="14" t="s">
        <v>49</v>
      </c>
      <c r="E37">
        <f t="shared" si="0"/>
        <v>-2523.0529762047613</v>
      </c>
      <c r="F37">
        <f t="shared" si="1"/>
        <v>-2523</v>
      </c>
      <c r="G37">
        <f t="shared" si="3"/>
        <v>-1.6105099995911587E-2</v>
      </c>
      <c r="I37">
        <f t="shared" si="4"/>
        <v>-1.6105099995911587E-2</v>
      </c>
      <c r="Q37" s="2">
        <f t="shared" si="2"/>
        <v>22835.908000000003</v>
      </c>
    </row>
    <row r="38" spans="1:17">
      <c r="A38" s="12" t="s">
        <v>56</v>
      </c>
      <c r="B38" s="5" t="s">
        <v>27</v>
      </c>
      <c r="C38" s="14">
        <v>37872.347000000002</v>
      </c>
      <c r="D38" s="14" t="s">
        <v>49</v>
      </c>
      <c r="E38">
        <f t="shared" si="0"/>
        <v>-2464.0443306602497</v>
      </c>
      <c r="F38">
        <f t="shared" si="1"/>
        <v>-2464</v>
      </c>
      <c r="G38">
        <f t="shared" si="3"/>
        <v>-1.3476799998898059E-2</v>
      </c>
      <c r="I38">
        <f t="shared" si="4"/>
        <v>-1.3476799998898059E-2</v>
      </c>
      <c r="Q38" s="2">
        <f t="shared" si="2"/>
        <v>22853.847000000002</v>
      </c>
    </row>
    <row r="39" spans="1:17">
      <c r="A39" s="12" t="s">
        <v>56</v>
      </c>
      <c r="B39" s="5" t="s">
        <v>26</v>
      </c>
      <c r="C39" s="14">
        <v>37874.328000000001</v>
      </c>
      <c r="D39" s="14" t="s">
        <v>49</v>
      </c>
      <c r="E39">
        <f t="shared" si="0"/>
        <v>-2457.5280183338286</v>
      </c>
      <c r="F39">
        <f t="shared" si="1"/>
        <v>-2457.5</v>
      </c>
      <c r="G39">
        <f t="shared" si="3"/>
        <v>-8.51775000046473E-3</v>
      </c>
      <c r="I39">
        <f t="shared" si="4"/>
        <v>-8.51775000046473E-3</v>
      </c>
      <c r="Q39" s="2">
        <f t="shared" si="2"/>
        <v>22855.828000000001</v>
      </c>
    </row>
    <row r="40" spans="1:17">
      <c r="A40" s="12" t="s">
        <v>56</v>
      </c>
      <c r="B40" s="5" t="s">
        <v>27</v>
      </c>
      <c r="C40" s="14">
        <v>37876.33</v>
      </c>
      <c r="D40" s="14" t="s">
        <v>49</v>
      </c>
      <c r="E40">
        <f t="shared" si="0"/>
        <v>-2450.9426284915771</v>
      </c>
      <c r="F40">
        <f t="shared" si="1"/>
        <v>-2451</v>
      </c>
      <c r="G40">
        <f t="shared" si="3"/>
        <v>1.7441299998608883E-2</v>
      </c>
      <c r="I40">
        <f t="shared" si="4"/>
        <v>1.7441299998608883E-2</v>
      </c>
      <c r="O40">
        <f t="shared" ref="O40:O48" ca="1" si="5">+C$11+C$12*$F40</f>
        <v>-7.7566671465075732E-2</v>
      </c>
      <c r="Q40" s="2">
        <f t="shared" si="2"/>
        <v>22857.83</v>
      </c>
    </row>
    <row r="41" spans="1:17">
      <c r="A41" s="12" t="s">
        <v>56</v>
      </c>
      <c r="B41" s="5" t="s">
        <v>26</v>
      </c>
      <c r="C41" s="14">
        <v>38254.337</v>
      </c>
      <c r="D41" s="14" t="s">
        <v>49</v>
      </c>
      <c r="E41">
        <f t="shared" si="0"/>
        <v>-1207.5243177526293</v>
      </c>
      <c r="F41">
        <f t="shared" si="1"/>
        <v>-1207.5</v>
      </c>
      <c r="G41">
        <f t="shared" si="3"/>
        <v>-7.3927499979618005E-3</v>
      </c>
      <c r="I41">
        <f t="shared" si="4"/>
        <v>-7.3927499979618005E-3</v>
      </c>
      <c r="O41">
        <f t="shared" ca="1" si="5"/>
        <v>-6.9217483377675873E-2</v>
      </c>
      <c r="Q41" s="2">
        <f t="shared" si="2"/>
        <v>23235.837</v>
      </c>
    </row>
    <row r="42" spans="1:17">
      <c r="A42" s="46" t="s">
        <v>25</v>
      </c>
      <c r="B42" s="47" t="s">
        <v>26</v>
      </c>
      <c r="C42" s="29">
        <v>52147.367200000001</v>
      </c>
      <c r="D42" s="29">
        <v>4.5999999999999999E-3</v>
      </c>
      <c r="E42">
        <f t="shared" si="0"/>
        <v>44492.285850655069</v>
      </c>
      <c r="F42">
        <f t="shared" ref="F42:F48" si="6">ROUND(2*E42,0)/2-1</f>
        <v>44491.5</v>
      </c>
      <c r="G42">
        <f t="shared" si="3"/>
        <v>0.23890355000185082</v>
      </c>
      <c r="K42">
        <f>+G42</f>
        <v>0.23890355000185082</v>
      </c>
      <c r="O42">
        <f t="shared" ca="1" si="5"/>
        <v>0.23761769668351135</v>
      </c>
      <c r="Q42" s="2">
        <f t="shared" si="2"/>
        <v>37128.867200000001</v>
      </c>
    </row>
    <row r="43" spans="1:17">
      <c r="A43" s="46" t="s">
        <v>25</v>
      </c>
      <c r="B43" s="47" t="s">
        <v>26</v>
      </c>
      <c r="C43" s="29">
        <v>52440.435400000002</v>
      </c>
      <c r="D43" s="29">
        <v>4.8999999999999998E-3</v>
      </c>
      <c r="E43">
        <f t="shared" si="0"/>
        <v>45456.306004184786</v>
      </c>
      <c r="F43">
        <f t="shared" si="6"/>
        <v>45455.5</v>
      </c>
      <c r="G43">
        <f t="shared" si="3"/>
        <v>0.24503035000088857</v>
      </c>
      <c r="K43">
        <f>+G43</f>
        <v>0.24503035000088857</v>
      </c>
      <c r="O43">
        <f t="shared" ca="1" si="5"/>
        <v>0.24409024780233202</v>
      </c>
      <c r="Q43" s="2">
        <f t="shared" si="2"/>
        <v>37421.935400000002</v>
      </c>
    </row>
    <row r="44" spans="1:17">
      <c r="A44" s="46" t="s">
        <v>25</v>
      </c>
      <c r="B44" s="47" t="s">
        <v>27</v>
      </c>
      <c r="C44" s="29">
        <v>52504.4277</v>
      </c>
      <c r="D44" s="29">
        <v>3.3999999999999998E-3</v>
      </c>
      <c r="E44">
        <f t="shared" si="0"/>
        <v>45666.80262876131</v>
      </c>
      <c r="F44">
        <f t="shared" si="6"/>
        <v>45666</v>
      </c>
      <c r="G44">
        <f t="shared" si="3"/>
        <v>0.24400420000165468</v>
      </c>
      <c r="K44">
        <f>+G44</f>
        <v>0.24400420000165468</v>
      </c>
      <c r="O44">
        <f t="shared" ca="1" si="5"/>
        <v>0.24550360051033177</v>
      </c>
      <c r="Q44" s="2">
        <f t="shared" si="2"/>
        <v>37485.9277</v>
      </c>
    </row>
    <row r="45" spans="1:17">
      <c r="A45" s="46" t="s">
        <v>25</v>
      </c>
      <c r="B45" s="47" t="s">
        <v>26</v>
      </c>
      <c r="C45" s="29">
        <v>52859.361900000004</v>
      </c>
      <c r="D45" s="29">
        <v>2.2000000000000001E-3</v>
      </c>
      <c r="E45">
        <f t="shared" si="0"/>
        <v>46834.325143919727</v>
      </c>
      <c r="F45">
        <f t="shared" si="6"/>
        <v>46833.5</v>
      </c>
      <c r="G45">
        <f t="shared" si="3"/>
        <v>0.25084895000327379</v>
      </c>
      <c r="K45">
        <f>+G45</f>
        <v>0.25084895000327379</v>
      </c>
      <c r="O45">
        <f t="shared" ca="1" si="5"/>
        <v>0.25334250448462958</v>
      </c>
      <c r="Q45" s="2">
        <f t="shared" si="2"/>
        <v>37840.861900000004</v>
      </c>
    </row>
    <row r="46" spans="1:17">
      <c r="A46" s="46" t="s">
        <v>25</v>
      </c>
      <c r="B46" s="47" t="s">
        <v>27</v>
      </c>
      <c r="C46" s="29">
        <v>52859.515899999999</v>
      </c>
      <c r="D46" s="29">
        <v>2.2000000000000001E-3</v>
      </c>
      <c r="E46">
        <f t="shared" si="0"/>
        <v>46834.831712369109</v>
      </c>
      <c r="F46">
        <f t="shared" si="6"/>
        <v>46834</v>
      </c>
      <c r="G46">
        <f t="shared" si="3"/>
        <v>0.25284580000152346</v>
      </c>
      <c r="K46">
        <f>+G46</f>
        <v>0.25284580000152346</v>
      </c>
      <c r="O46">
        <f t="shared" ca="1" si="5"/>
        <v>0.25334586161695261</v>
      </c>
      <c r="Q46" s="2">
        <f t="shared" si="2"/>
        <v>37841.015899999999</v>
      </c>
    </row>
    <row r="47" spans="1:17">
      <c r="A47" s="13" t="s">
        <v>31</v>
      </c>
      <c r="B47" s="47"/>
      <c r="C47" s="14">
        <v>53654.361299999997</v>
      </c>
      <c r="D47" s="14">
        <v>1E-3</v>
      </c>
      <c r="E47">
        <f t="shared" si="0"/>
        <v>49449.40055518585</v>
      </c>
      <c r="F47">
        <f t="shared" si="6"/>
        <v>49448.5</v>
      </c>
      <c r="G47">
        <f t="shared" si="3"/>
        <v>0.2737744499972905</v>
      </c>
      <c r="J47">
        <f>+G47</f>
        <v>0.2737744499972905</v>
      </c>
      <c r="O47">
        <f t="shared" ca="1" si="5"/>
        <v>0.27090030653412744</v>
      </c>
      <c r="Q47" s="2">
        <f t="shared" si="2"/>
        <v>38635.861299999997</v>
      </c>
    </row>
    <row r="48" spans="1:17">
      <c r="A48" s="30" t="s">
        <v>38</v>
      </c>
      <c r="B48" s="31" t="s">
        <v>26</v>
      </c>
      <c r="C48" s="32">
        <v>55342.846100000002</v>
      </c>
      <c r="D48" s="32">
        <v>2.0000000000000001E-4</v>
      </c>
      <c r="E48">
        <f t="shared" si="0"/>
        <v>55003.51176932847</v>
      </c>
      <c r="F48">
        <f t="shared" si="6"/>
        <v>55002.5</v>
      </c>
      <c r="G48">
        <f t="shared" si="3"/>
        <v>0.30758425000385614</v>
      </c>
      <c r="K48">
        <f>+G48</f>
        <v>0.30758425000385614</v>
      </c>
      <c r="O48">
        <f t="shared" ca="1" si="5"/>
        <v>0.30819133237845303</v>
      </c>
      <c r="Q48" s="2">
        <f t="shared" si="2"/>
        <v>40324.346100000002</v>
      </c>
    </row>
    <row r="49" spans="2:4">
      <c r="B49" s="5"/>
      <c r="D49" s="5"/>
    </row>
    <row r="50" spans="2:4">
      <c r="D50" s="5"/>
    </row>
    <row r="51" spans="2:4">
      <c r="D51" s="5"/>
    </row>
    <row r="52" spans="2:4">
      <c r="D52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5"/>
  <sheetViews>
    <sheetView workbookViewId="0">
      <selection activeCell="A11" sqref="A11:D30"/>
    </sheetView>
  </sheetViews>
  <sheetFormatPr defaultRowHeight="12.75"/>
  <cols>
    <col min="1" max="1" width="19.7109375" style="14" customWidth="1"/>
    <col min="2" max="2" width="4.42578125" style="13" customWidth="1"/>
    <col min="3" max="3" width="12.7109375" style="14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4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33" t="s">
        <v>39</v>
      </c>
      <c r="I1" s="34" t="s">
        <v>40</v>
      </c>
      <c r="J1" s="35" t="s">
        <v>41</v>
      </c>
    </row>
    <row r="2" spans="1:16">
      <c r="I2" s="36" t="s">
        <v>42</v>
      </c>
      <c r="J2" s="37" t="s">
        <v>43</v>
      </c>
    </row>
    <row r="3" spans="1:16">
      <c r="A3" s="38" t="s">
        <v>44</v>
      </c>
      <c r="I3" s="36" t="s">
        <v>45</v>
      </c>
      <c r="J3" s="37" t="s">
        <v>46</v>
      </c>
    </row>
    <row r="4" spans="1:16">
      <c r="I4" s="36" t="s">
        <v>47</v>
      </c>
      <c r="J4" s="37" t="s">
        <v>46</v>
      </c>
    </row>
    <row r="5" spans="1:16" ht="13.5" thickBot="1">
      <c r="I5" s="39" t="s">
        <v>48</v>
      </c>
      <c r="J5" s="40" t="s">
        <v>49</v>
      </c>
    </row>
    <row r="10" spans="1:16" ht="13.5" thickBot="1"/>
    <row r="11" spans="1:16" ht="12.75" customHeight="1" thickBot="1">
      <c r="A11" s="14" t="str">
        <f t="shared" ref="A11:A37" si="0">P11</f>
        <v> PZP 3.428 </v>
      </c>
      <c r="B11" s="5" t="str">
        <f t="shared" ref="B11:B37" si="1">IF(H11=INT(H11),"I","II")</f>
        <v>I</v>
      </c>
      <c r="C11" s="14">
        <f t="shared" ref="C11:C37" si="2">1*G11</f>
        <v>32740.41</v>
      </c>
      <c r="D11" s="13" t="str">
        <f t="shared" ref="D11:D37" si="3">VLOOKUP(F11,I$1:J$5,2,FALSE)</f>
        <v>vis</v>
      </c>
      <c r="E11" s="41">
        <f>VLOOKUP(C11,Active!C$21:E$973,3,FALSE)</f>
        <v>-19345.066204220111</v>
      </c>
      <c r="F11" s="5" t="s">
        <v>48</v>
      </c>
      <c r="G11" s="13" t="str">
        <f t="shared" ref="G11:G37" si="4">MID(I11,3,LEN(I11)-3)</f>
        <v>32740.410</v>
      </c>
      <c r="H11" s="14">
        <f t="shared" ref="H11:H37" si="5">1*K11</f>
        <v>-67216</v>
      </c>
      <c r="I11" s="42" t="s">
        <v>51</v>
      </c>
      <c r="J11" s="43" t="s">
        <v>52</v>
      </c>
      <c r="K11" s="42">
        <v>-67216</v>
      </c>
      <c r="L11" s="42" t="s">
        <v>53</v>
      </c>
      <c r="M11" s="43" t="s">
        <v>54</v>
      </c>
      <c r="N11" s="43"/>
      <c r="O11" s="44" t="s">
        <v>55</v>
      </c>
      <c r="P11" s="44" t="s">
        <v>56</v>
      </c>
    </row>
    <row r="12" spans="1:16" ht="12.75" customHeight="1" thickBot="1">
      <c r="A12" s="14" t="str">
        <f t="shared" si="0"/>
        <v> PZP 3.428 </v>
      </c>
      <c r="B12" s="5" t="str">
        <f t="shared" si="1"/>
        <v>I</v>
      </c>
      <c r="C12" s="14">
        <f t="shared" si="2"/>
        <v>32761.401999999998</v>
      </c>
      <c r="D12" s="13" t="str">
        <f t="shared" si="3"/>
        <v>vis</v>
      </c>
      <c r="E12" s="41">
        <f>VLOOKUP(C12,Active!C$21:E$973,3,FALSE)</f>
        <v>-19276.015003636447</v>
      </c>
      <c r="F12" s="5" t="s">
        <v>48</v>
      </c>
      <c r="G12" s="13" t="str">
        <f t="shared" si="4"/>
        <v>32761.402</v>
      </c>
      <c r="H12" s="14">
        <f t="shared" si="5"/>
        <v>-67147</v>
      </c>
      <c r="I12" s="42" t="s">
        <v>57</v>
      </c>
      <c r="J12" s="43" t="s">
        <v>58</v>
      </c>
      <c r="K12" s="42">
        <v>-67147</v>
      </c>
      <c r="L12" s="42" t="s">
        <v>59</v>
      </c>
      <c r="M12" s="43" t="s">
        <v>54</v>
      </c>
      <c r="N12" s="43"/>
      <c r="O12" s="44" t="s">
        <v>55</v>
      </c>
      <c r="P12" s="44" t="s">
        <v>56</v>
      </c>
    </row>
    <row r="13" spans="1:16" ht="12.75" customHeight="1" thickBot="1">
      <c r="A13" s="14" t="str">
        <f t="shared" si="0"/>
        <v> PZP 3.428 </v>
      </c>
      <c r="B13" s="5" t="str">
        <f t="shared" si="1"/>
        <v>I</v>
      </c>
      <c r="C13" s="14">
        <f t="shared" si="2"/>
        <v>33061.457999999999</v>
      </c>
      <c r="D13" s="13" t="str">
        <f t="shared" si="3"/>
        <v>vis</v>
      </c>
      <c r="E13" s="41">
        <f>VLOOKUP(C13,Active!C$21:E$973,3,FALSE)</f>
        <v>-18289.009142244755</v>
      </c>
      <c r="F13" s="5" t="s">
        <v>48</v>
      </c>
      <c r="G13" s="13" t="str">
        <f t="shared" si="4"/>
        <v>33061.458</v>
      </c>
      <c r="H13" s="14">
        <f t="shared" si="5"/>
        <v>-66160</v>
      </c>
      <c r="I13" s="42" t="s">
        <v>60</v>
      </c>
      <c r="J13" s="43" t="s">
        <v>61</v>
      </c>
      <c r="K13" s="42">
        <v>-66160</v>
      </c>
      <c r="L13" s="42" t="s">
        <v>62</v>
      </c>
      <c r="M13" s="43" t="s">
        <v>54</v>
      </c>
      <c r="N13" s="43"/>
      <c r="O13" s="44" t="s">
        <v>55</v>
      </c>
      <c r="P13" s="44" t="s">
        <v>56</v>
      </c>
    </row>
    <row r="14" spans="1:16" ht="12.75" customHeight="1" thickBot="1">
      <c r="A14" s="14" t="str">
        <f t="shared" si="0"/>
        <v> PZP 3.428 </v>
      </c>
      <c r="B14" s="5" t="str">
        <f t="shared" si="1"/>
        <v>I</v>
      </c>
      <c r="C14" s="14">
        <f t="shared" si="2"/>
        <v>33117.375999999997</v>
      </c>
      <c r="D14" s="13" t="str">
        <f t="shared" si="3"/>
        <v>vis</v>
      </c>
      <c r="E14" s="41">
        <f>VLOOKUP(C14,Active!C$21:E$973,3,FALSE)</f>
        <v>-18105.072164622918</v>
      </c>
      <c r="F14" s="5" t="s">
        <v>48</v>
      </c>
      <c r="G14" s="13" t="str">
        <f t="shared" si="4"/>
        <v>33117.376</v>
      </c>
      <c r="H14" s="14">
        <f t="shared" si="5"/>
        <v>-65976</v>
      </c>
      <c r="I14" s="42" t="s">
        <v>63</v>
      </c>
      <c r="J14" s="43" t="s">
        <v>64</v>
      </c>
      <c r="K14" s="42">
        <v>-65976</v>
      </c>
      <c r="L14" s="42" t="s">
        <v>65</v>
      </c>
      <c r="M14" s="43" t="s">
        <v>54</v>
      </c>
      <c r="N14" s="43"/>
      <c r="O14" s="44" t="s">
        <v>55</v>
      </c>
      <c r="P14" s="44" t="s">
        <v>56</v>
      </c>
    </row>
    <row r="15" spans="1:16" ht="12.75" customHeight="1" thickBot="1">
      <c r="A15" s="14" t="str">
        <f t="shared" si="0"/>
        <v> PZP 3.428 </v>
      </c>
      <c r="B15" s="5" t="str">
        <f t="shared" si="1"/>
        <v>I</v>
      </c>
      <c r="C15" s="14">
        <f t="shared" si="2"/>
        <v>33483.406000000003</v>
      </c>
      <c r="D15" s="13" t="str">
        <f t="shared" si="3"/>
        <v>vis</v>
      </c>
      <c r="E15" s="41">
        <f>VLOOKUP(C15,Active!C$21:E$973,3,FALSE)</f>
        <v>-16901.051063744395</v>
      </c>
      <c r="F15" s="5" t="s">
        <v>48</v>
      </c>
      <c r="G15" s="13" t="str">
        <f t="shared" si="4"/>
        <v>33483.406</v>
      </c>
      <c r="H15" s="14">
        <f t="shared" si="5"/>
        <v>-64772</v>
      </c>
      <c r="I15" s="42" t="s">
        <v>66</v>
      </c>
      <c r="J15" s="43" t="s">
        <v>67</v>
      </c>
      <c r="K15" s="42">
        <v>-64772</v>
      </c>
      <c r="L15" s="42" t="s">
        <v>68</v>
      </c>
      <c r="M15" s="43" t="s">
        <v>54</v>
      </c>
      <c r="N15" s="43"/>
      <c r="O15" s="44" t="s">
        <v>55</v>
      </c>
      <c r="P15" s="44" t="s">
        <v>56</v>
      </c>
    </row>
    <row r="16" spans="1:16" ht="12.75" customHeight="1" thickBot="1">
      <c r="A16" s="14" t="str">
        <f t="shared" si="0"/>
        <v> PZP 3.428 </v>
      </c>
      <c r="B16" s="5" t="str">
        <f t="shared" si="1"/>
        <v>I</v>
      </c>
      <c r="C16" s="14">
        <f t="shared" si="2"/>
        <v>33486.463000000003</v>
      </c>
      <c r="D16" s="13" t="str">
        <f t="shared" si="3"/>
        <v>vis</v>
      </c>
      <c r="E16" s="41">
        <f>VLOOKUP(C16,Active!C$21:E$973,3,FALSE)</f>
        <v>-16890.995351083177</v>
      </c>
      <c r="F16" s="5" t="s">
        <v>48</v>
      </c>
      <c r="G16" s="13" t="str">
        <f t="shared" si="4"/>
        <v>33486.463</v>
      </c>
      <c r="H16" s="14">
        <f t="shared" si="5"/>
        <v>-64762</v>
      </c>
      <c r="I16" s="42" t="s">
        <v>69</v>
      </c>
      <c r="J16" s="43" t="s">
        <v>70</v>
      </c>
      <c r="K16" s="42">
        <v>-64762</v>
      </c>
      <c r="L16" s="42" t="s">
        <v>71</v>
      </c>
      <c r="M16" s="43" t="s">
        <v>54</v>
      </c>
      <c r="N16" s="43"/>
      <c r="O16" s="44" t="s">
        <v>55</v>
      </c>
      <c r="P16" s="44" t="s">
        <v>56</v>
      </c>
    </row>
    <row r="17" spans="1:16" ht="12.75" customHeight="1" thickBot="1">
      <c r="A17" s="14" t="str">
        <f t="shared" si="0"/>
        <v> PZP 3.428 </v>
      </c>
      <c r="B17" s="5" t="str">
        <f t="shared" si="1"/>
        <v>II</v>
      </c>
      <c r="C17" s="14">
        <f t="shared" si="2"/>
        <v>35366.254999999997</v>
      </c>
      <c r="D17" s="13" t="str">
        <f t="shared" si="3"/>
        <v>vis</v>
      </c>
      <c r="E17" s="41">
        <f>VLOOKUP(C17,Active!C$21:E$973,3,FALSE)</f>
        <v>-10707.597178084807</v>
      </c>
      <c r="F17" s="5" t="s">
        <v>48</v>
      </c>
      <c r="G17" s="13" t="str">
        <f t="shared" si="4"/>
        <v>35366.255</v>
      </c>
      <c r="H17" s="14">
        <f t="shared" si="5"/>
        <v>-58578.5</v>
      </c>
      <c r="I17" s="42" t="s">
        <v>72</v>
      </c>
      <c r="J17" s="43" t="s">
        <v>73</v>
      </c>
      <c r="K17" s="42">
        <v>-58578.5</v>
      </c>
      <c r="L17" s="42" t="s">
        <v>74</v>
      </c>
      <c r="M17" s="43" t="s">
        <v>54</v>
      </c>
      <c r="N17" s="43"/>
      <c r="O17" s="44" t="s">
        <v>55</v>
      </c>
      <c r="P17" s="44" t="s">
        <v>56</v>
      </c>
    </row>
    <row r="18" spans="1:16" ht="12.75" customHeight="1" thickBot="1">
      <c r="A18" s="14" t="str">
        <f t="shared" si="0"/>
        <v> PZP 3.428 </v>
      </c>
      <c r="B18" s="5" t="str">
        <f t="shared" si="1"/>
        <v>I</v>
      </c>
      <c r="C18" s="14">
        <f t="shared" si="2"/>
        <v>35398.368999999999</v>
      </c>
      <c r="D18" s="13" t="str">
        <f t="shared" si="3"/>
        <v>vis</v>
      </c>
      <c r="E18" s="41">
        <f>VLOOKUP(C18,Active!C$21:E$973,3,FALSE)</f>
        <v>-10601.961209356523</v>
      </c>
      <c r="F18" s="5" t="s">
        <v>48</v>
      </c>
      <c r="G18" s="13" t="str">
        <f t="shared" si="4"/>
        <v>35398.369</v>
      </c>
      <c r="H18" s="14">
        <f t="shared" si="5"/>
        <v>-58473</v>
      </c>
      <c r="I18" s="42" t="s">
        <v>75</v>
      </c>
      <c r="J18" s="43" t="s">
        <v>76</v>
      </c>
      <c r="K18" s="42">
        <v>-58473</v>
      </c>
      <c r="L18" s="42" t="s">
        <v>77</v>
      </c>
      <c r="M18" s="43" t="s">
        <v>54</v>
      </c>
      <c r="N18" s="43"/>
      <c r="O18" s="44" t="s">
        <v>55</v>
      </c>
      <c r="P18" s="44" t="s">
        <v>56</v>
      </c>
    </row>
    <row r="19" spans="1:16" ht="12.75" customHeight="1" thickBot="1">
      <c r="A19" s="14" t="str">
        <f t="shared" si="0"/>
        <v> PZP 3.428 </v>
      </c>
      <c r="B19" s="5" t="str">
        <f t="shared" si="1"/>
        <v>II</v>
      </c>
      <c r="C19" s="14">
        <f t="shared" si="2"/>
        <v>36074.315000000002</v>
      </c>
      <c r="D19" s="13" t="str">
        <f t="shared" si="3"/>
        <v>vis</v>
      </c>
      <c r="E19" s="41">
        <f>VLOOKUP(C19,Active!C$21:E$973,3,FALSE)</f>
        <v>-8378.5007087024132</v>
      </c>
      <c r="F19" s="5" t="s">
        <v>48</v>
      </c>
      <c r="G19" s="13" t="str">
        <f t="shared" si="4"/>
        <v>36074.315</v>
      </c>
      <c r="H19" s="14">
        <f t="shared" si="5"/>
        <v>-56249.5</v>
      </c>
      <c r="I19" s="42" t="s">
        <v>78</v>
      </c>
      <c r="J19" s="43" t="s">
        <v>79</v>
      </c>
      <c r="K19" s="42">
        <v>-56249.5</v>
      </c>
      <c r="L19" s="42" t="s">
        <v>80</v>
      </c>
      <c r="M19" s="43" t="s">
        <v>54</v>
      </c>
      <c r="N19" s="43"/>
      <c r="O19" s="44" t="s">
        <v>55</v>
      </c>
      <c r="P19" s="44" t="s">
        <v>56</v>
      </c>
    </row>
    <row r="20" spans="1:16" ht="12.75" customHeight="1" thickBot="1">
      <c r="A20" s="14" t="str">
        <f t="shared" si="0"/>
        <v> PZP 3.428 </v>
      </c>
      <c r="B20" s="5" t="str">
        <f t="shared" si="1"/>
        <v>II</v>
      </c>
      <c r="C20" s="14">
        <f t="shared" si="2"/>
        <v>36451.298999999999</v>
      </c>
      <c r="D20" s="13" t="str">
        <f t="shared" si="3"/>
        <v>vis</v>
      </c>
      <c r="E20" s="41">
        <f>VLOOKUP(C20,Active!C$21:E$973,3,FALSE)</f>
        <v>-7138.4474598059369</v>
      </c>
      <c r="F20" s="5" t="s">
        <v>48</v>
      </c>
      <c r="G20" s="13" t="str">
        <f t="shared" si="4"/>
        <v>36451.299</v>
      </c>
      <c r="H20" s="14">
        <f t="shared" si="5"/>
        <v>-55009.5</v>
      </c>
      <c r="I20" s="42" t="s">
        <v>81</v>
      </c>
      <c r="J20" s="43" t="s">
        <v>82</v>
      </c>
      <c r="K20" s="42">
        <v>-55009.5</v>
      </c>
      <c r="L20" s="42" t="s">
        <v>83</v>
      </c>
      <c r="M20" s="43" t="s">
        <v>54</v>
      </c>
      <c r="N20" s="43"/>
      <c r="O20" s="44" t="s">
        <v>55</v>
      </c>
      <c r="P20" s="44" t="s">
        <v>56</v>
      </c>
    </row>
    <row r="21" spans="1:16" ht="12.75" customHeight="1" thickBot="1">
      <c r="A21" s="14" t="str">
        <f t="shared" si="0"/>
        <v> PZP 3.428 </v>
      </c>
      <c r="B21" s="5" t="str">
        <f t="shared" si="1"/>
        <v>II</v>
      </c>
      <c r="C21" s="14">
        <f t="shared" si="2"/>
        <v>37525.319000000003</v>
      </c>
      <c r="D21" s="13" t="str">
        <f t="shared" si="3"/>
        <v>vis</v>
      </c>
      <c r="E21" s="41">
        <f>VLOOKUP(C21,Active!C$21:E$973,3,FALSE)</f>
        <v>-3605.5601479311367</v>
      </c>
      <c r="F21" s="5" t="s">
        <v>48</v>
      </c>
      <c r="G21" s="13" t="str">
        <f t="shared" si="4"/>
        <v>37525.319</v>
      </c>
      <c r="H21" s="14">
        <f t="shared" si="5"/>
        <v>-51476.5</v>
      </c>
      <c r="I21" s="42" t="s">
        <v>84</v>
      </c>
      <c r="J21" s="43" t="s">
        <v>85</v>
      </c>
      <c r="K21" s="42">
        <v>-51476.5</v>
      </c>
      <c r="L21" s="42" t="s">
        <v>86</v>
      </c>
      <c r="M21" s="43" t="s">
        <v>54</v>
      </c>
      <c r="N21" s="43"/>
      <c r="O21" s="44" t="s">
        <v>55</v>
      </c>
      <c r="P21" s="44" t="s">
        <v>56</v>
      </c>
    </row>
    <row r="22" spans="1:16" ht="12.75" customHeight="1" thickBot="1">
      <c r="A22" s="14" t="str">
        <f t="shared" si="0"/>
        <v> PZP 3.428 </v>
      </c>
      <c r="B22" s="5" t="str">
        <f t="shared" si="1"/>
        <v>I</v>
      </c>
      <c r="C22" s="14">
        <f t="shared" si="2"/>
        <v>37526.421000000002</v>
      </c>
      <c r="D22" s="13" t="str">
        <f t="shared" si="3"/>
        <v>vis</v>
      </c>
      <c r="E22" s="41">
        <f>VLOOKUP(C22,Active!C$21:E$973,3,FALSE)</f>
        <v>-3601.9352230529385</v>
      </c>
      <c r="F22" s="5" t="s">
        <v>48</v>
      </c>
      <c r="G22" s="13" t="str">
        <f t="shared" si="4"/>
        <v>37526.421</v>
      </c>
      <c r="H22" s="14">
        <f t="shared" si="5"/>
        <v>-51473</v>
      </c>
      <c r="I22" s="42" t="s">
        <v>87</v>
      </c>
      <c r="J22" s="43" t="s">
        <v>88</v>
      </c>
      <c r="K22" s="42">
        <v>-51473</v>
      </c>
      <c r="L22" s="42" t="s">
        <v>74</v>
      </c>
      <c r="M22" s="43" t="s">
        <v>54</v>
      </c>
      <c r="N22" s="43"/>
      <c r="O22" s="44" t="s">
        <v>55</v>
      </c>
      <c r="P22" s="44" t="s">
        <v>56</v>
      </c>
    </row>
    <row r="23" spans="1:16" ht="12.75" customHeight="1" thickBot="1">
      <c r="A23" s="14" t="str">
        <f t="shared" si="0"/>
        <v> PZP 3.428 </v>
      </c>
      <c r="B23" s="5" t="str">
        <f t="shared" si="1"/>
        <v>II</v>
      </c>
      <c r="C23" s="14">
        <f t="shared" si="2"/>
        <v>37571.243999999999</v>
      </c>
      <c r="D23" s="13" t="str">
        <f t="shared" si="3"/>
        <v>vis</v>
      </c>
      <c r="E23" s="41">
        <f>VLOOKUP(C23,Active!C$21:E$973,3,FALSE)</f>
        <v>-3454.4941996267903</v>
      </c>
      <c r="F23" s="5" t="s">
        <v>48</v>
      </c>
      <c r="G23" s="13" t="str">
        <f t="shared" si="4"/>
        <v>37571.244</v>
      </c>
      <c r="H23" s="14">
        <f t="shared" si="5"/>
        <v>-51325.5</v>
      </c>
      <c r="I23" s="42" t="s">
        <v>89</v>
      </c>
      <c r="J23" s="43" t="s">
        <v>90</v>
      </c>
      <c r="K23" s="42">
        <v>-51325.5</v>
      </c>
      <c r="L23" s="42" t="s">
        <v>91</v>
      </c>
      <c r="M23" s="43" t="s">
        <v>54</v>
      </c>
      <c r="N23" s="43"/>
      <c r="O23" s="44" t="s">
        <v>55</v>
      </c>
      <c r="P23" s="44" t="s">
        <v>56</v>
      </c>
    </row>
    <row r="24" spans="1:16" ht="12.75" customHeight="1" thickBot="1">
      <c r="A24" s="14" t="str">
        <f t="shared" si="0"/>
        <v> PZP 3.428 </v>
      </c>
      <c r="B24" s="5" t="str">
        <f t="shared" si="1"/>
        <v>I</v>
      </c>
      <c r="C24" s="14">
        <f t="shared" si="2"/>
        <v>37847.438999999998</v>
      </c>
      <c r="D24" s="13" t="str">
        <f t="shared" si="3"/>
        <v>vis</v>
      </c>
      <c r="E24" s="41">
        <f>VLOOKUP(C24,Active!C$21:E$973,3,FALSE)</f>
        <v>-2545.9768432430583</v>
      </c>
      <c r="F24" s="5" t="s">
        <v>48</v>
      </c>
      <c r="G24" s="13" t="str">
        <f t="shared" si="4"/>
        <v>37847.439</v>
      </c>
      <c r="H24" s="14">
        <f t="shared" si="5"/>
        <v>-50417</v>
      </c>
      <c r="I24" s="42" t="s">
        <v>92</v>
      </c>
      <c r="J24" s="43" t="s">
        <v>93</v>
      </c>
      <c r="K24" s="42">
        <v>-50417</v>
      </c>
      <c r="L24" s="42" t="s">
        <v>94</v>
      </c>
      <c r="M24" s="43" t="s">
        <v>54</v>
      </c>
      <c r="N24" s="43"/>
      <c r="O24" s="44" t="s">
        <v>55</v>
      </c>
      <c r="P24" s="44" t="s">
        <v>56</v>
      </c>
    </row>
    <row r="25" spans="1:16" ht="12.75" customHeight="1" thickBot="1">
      <c r="A25" s="14" t="str">
        <f t="shared" si="0"/>
        <v> PZP 3.428 </v>
      </c>
      <c r="B25" s="5" t="str">
        <f t="shared" si="1"/>
        <v>I</v>
      </c>
      <c r="C25" s="14">
        <f t="shared" si="2"/>
        <v>37850.478000000003</v>
      </c>
      <c r="D25" s="13" t="str">
        <f t="shared" si="3"/>
        <v>vis</v>
      </c>
      <c r="E25" s="41">
        <f>VLOOKUP(C25,Active!C$21:E$973,3,FALSE)</f>
        <v>-2535.9803398811073</v>
      </c>
      <c r="F25" s="5" t="s">
        <v>48</v>
      </c>
      <c r="G25" s="13" t="str">
        <f t="shared" si="4"/>
        <v>37850.478</v>
      </c>
      <c r="H25" s="14">
        <f t="shared" si="5"/>
        <v>-50407</v>
      </c>
      <c r="I25" s="42" t="s">
        <v>95</v>
      </c>
      <c r="J25" s="43" t="s">
        <v>96</v>
      </c>
      <c r="K25" s="42">
        <v>-50407</v>
      </c>
      <c r="L25" s="42" t="s">
        <v>97</v>
      </c>
      <c r="M25" s="43" t="s">
        <v>54</v>
      </c>
      <c r="N25" s="43"/>
      <c r="O25" s="44" t="s">
        <v>55</v>
      </c>
      <c r="P25" s="44" t="s">
        <v>56</v>
      </c>
    </row>
    <row r="26" spans="1:16" ht="12.75" customHeight="1" thickBot="1">
      <c r="A26" s="14" t="str">
        <f t="shared" si="0"/>
        <v> PZP 3.428 </v>
      </c>
      <c r="B26" s="5" t="str">
        <f t="shared" si="1"/>
        <v>I</v>
      </c>
      <c r="C26" s="14">
        <f t="shared" si="2"/>
        <v>37854.408000000003</v>
      </c>
      <c r="D26" s="13" t="str">
        <f t="shared" si="3"/>
        <v>vis</v>
      </c>
      <c r="E26" s="41">
        <f>VLOOKUP(C26,Active!C$21:E$973,3,FALSE)</f>
        <v>-2523.0529762047613</v>
      </c>
      <c r="F26" s="5" t="s">
        <v>48</v>
      </c>
      <c r="G26" s="13" t="str">
        <f t="shared" si="4"/>
        <v>37854.408</v>
      </c>
      <c r="H26" s="14">
        <f t="shared" si="5"/>
        <v>-50394</v>
      </c>
      <c r="I26" s="42" t="s">
        <v>98</v>
      </c>
      <c r="J26" s="43" t="s">
        <v>99</v>
      </c>
      <c r="K26" s="42">
        <v>-50394</v>
      </c>
      <c r="L26" s="42" t="s">
        <v>100</v>
      </c>
      <c r="M26" s="43" t="s">
        <v>54</v>
      </c>
      <c r="N26" s="43"/>
      <c r="O26" s="44" t="s">
        <v>55</v>
      </c>
      <c r="P26" s="44" t="s">
        <v>56</v>
      </c>
    </row>
    <row r="27" spans="1:16" ht="12.75" customHeight="1" thickBot="1">
      <c r="A27" s="14" t="str">
        <f t="shared" si="0"/>
        <v> PZP 3.428 </v>
      </c>
      <c r="B27" s="5" t="str">
        <f t="shared" si="1"/>
        <v>I</v>
      </c>
      <c r="C27" s="14">
        <f t="shared" si="2"/>
        <v>37872.347000000002</v>
      </c>
      <c r="D27" s="13" t="str">
        <f t="shared" si="3"/>
        <v>vis</v>
      </c>
      <c r="E27" s="41">
        <f>VLOOKUP(C27,Active!C$21:E$973,3,FALSE)</f>
        <v>-2464.0443306602497</v>
      </c>
      <c r="F27" s="5" t="s">
        <v>48</v>
      </c>
      <c r="G27" s="13" t="str">
        <f t="shared" si="4"/>
        <v>37872.347</v>
      </c>
      <c r="H27" s="14">
        <f t="shared" si="5"/>
        <v>-50335</v>
      </c>
      <c r="I27" s="42" t="s">
        <v>101</v>
      </c>
      <c r="J27" s="43" t="s">
        <v>102</v>
      </c>
      <c r="K27" s="42">
        <v>-50335</v>
      </c>
      <c r="L27" s="42" t="s">
        <v>103</v>
      </c>
      <c r="M27" s="43" t="s">
        <v>54</v>
      </c>
      <c r="N27" s="43"/>
      <c r="O27" s="44" t="s">
        <v>55</v>
      </c>
      <c r="P27" s="44" t="s">
        <v>56</v>
      </c>
    </row>
    <row r="28" spans="1:16" ht="12.75" customHeight="1" thickBot="1">
      <c r="A28" s="14" t="str">
        <f t="shared" si="0"/>
        <v> PZP 3.428 </v>
      </c>
      <c r="B28" s="5" t="str">
        <f t="shared" si="1"/>
        <v>II</v>
      </c>
      <c r="C28" s="14">
        <f t="shared" si="2"/>
        <v>37874.328000000001</v>
      </c>
      <c r="D28" s="13" t="str">
        <f t="shared" si="3"/>
        <v>vis</v>
      </c>
      <c r="E28" s="41">
        <f>VLOOKUP(C28,Active!C$21:E$973,3,FALSE)</f>
        <v>-2457.5280183338286</v>
      </c>
      <c r="F28" s="5" t="s">
        <v>48</v>
      </c>
      <c r="G28" s="13" t="str">
        <f t="shared" si="4"/>
        <v>37874.328</v>
      </c>
      <c r="H28" s="14">
        <f t="shared" si="5"/>
        <v>-50328.5</v>
      </c>
      <c r="I28" s="42" t="s">
        <v>104</v>
      </c>
      <c r="J28" s="43" t="s">
        <v>105</v>
      </c>
      <c r="K28" s="42">
        <v>-50328.5</v>
      </c>
      <c r="L28" s="42" t="s">
        <v>106</v>
      </c>
      <c r="M28" s="43" t="s">
        <v>54</v>
      </c>
      <c r="N28" s="43"/>
      <c r="O28" s="44" t="s">
        <v>55</v>
      </c>
      <c r="P28" s="44" t="s">
        <v>56</v>
      </c>
    </row>
    <row r="29" spans="1:16" ht="12.75" customHeight="1" thickBot="1">
      <c r="A29" s="14" t="str">
        <f t="shared" si="0"/>
        <v> PZP 3.428 </v>
      </c>
      <c r="B29" s="5" t="str">
        <f t="shared" si="1"/>
        <v>I</v>
      </c>
      <c r="C29" s="14">
        <f t="shared" si="2"/>
        <v>37876.33</v>
      </c>
      <c r="D29" s="13" t="str">
        <f t="shared" si="3"/>
        <v>vis</v>
      </c>
      <c r="E29" s="41">
        <f>VLOOKUP(C29,Active!C$21:E$973,3,FALSE)</f>
        <v>-2450.9426284915771</v>
      </c>
      <c r="F29" s="5" t="s">
        <v>48</v>
      </c>
      <c r="G29" s="13" t="str">
        <f t="shared" si="4"/>
        <v>37876.330</v>
      </c>
      <c r="H29" s="14">
        <f t="shared" si="5"/>
        <v>-50322</v>
      </c>
      <c r="I29" s="42" t="s">
        <v>107</v>
      </c>
      <c r="J29" s="43" t="s">
        <v>108</v>
      </c>
      <c r="K29" s="42">
        <v>-50322</v>
      </c>
      <c r="L29" s="42" t="s">
        <v>109</v>
      </c>
      <c r="M29" s="43" t="s">
        <v>54</v>
      </c>
      <c r="N29" s="43"/>
      <c r="O29" s="44" t="s">
        <v>55</v>
      </c>
      <c r="P29" s="44" t="s">
        <v>56</v>
      </c>
    </row>
    <row r="30" spans="1:16" ht="12.75" customHeight="1" thickBot="1">
      <c r="A30" s="14" t="str">
        <f t="shared" si="0"/>
        <v> PZP 3.428 </v>
      </c>
      <c r="B30" s="5" t="str">
        <f t="shared" si="1"/>
        <v>II</v>
      </c>
      <c r="C30" s="14">
        <f t="shared" si="2"/>
        <v>38254.337</v>
      </c>
      <c r="D30" s="13" t="str">
        <f t="shared" si="3"/>
        <v>vis</v>
      </c>
      <c r="E30" s="41">
        <f>VLOOKUP(C30,Active!C$21:E$973,3,FALSE)</f>
        <v>-1207.5243177526293</v>
      </c>
      <c r="F30" s="5" t="s">
        <v>48</v>
      </c>
      <c r="G30" s="13" t="str">
        <f t="shared" si="4"/>
        <v>38254.337</v>
      </c>
      <c r="H30" s="14">
        <f t="shared" si="5"/>
        <v>-49078.5</v>
      </c>
      <c r="I30" s="42" t="s">
        <v>110</v>
      </c>
      <c r="J30" s="43" t="s">
        <v>111</v>
      </c>
      <c r="K30" s="42">
        <v>-49078.5</v>
      </c>
      <c r="L30" s="42" t="s">
        <v>100</v>
      </c>
      <c r="M30" s="43" t="s">
        <v>54</v>
      </c>
      <c r="N30" s="43"/>
      <c r="O30" s="44" t="s">
        <v>55</v>
      </c>
      <c r="P30" s="44" t="s">
        <v>56</v>
      </c>
    </row>
    <row r="31" spans="1:16" ht="12.75" customHeight="1" thickBot="1">
      <c r="A31" s="14" t="str">
        <f t="shared" si="0"/>
        <v> PZP 3.416 </v>
      </c>
      <c r="B31" s="5" t="str">
        <f t="shared" si="1"/>
        <v>I</v>
      </c>
      <c r="C31" s="14">
        <f t="shared" si="2"/>
        <v>38621.432000000001</v>
      </c>
      <c r="D31" s="13" t="str">
        <f t="shared" si="3"/>
        <v>vis</v>
      </c>
      <c r="E31" s="41">
        <f>VLOOKUP(C31,Active!C$21:E$973,3,FALSE)</f>
        <v>0</v>
      </c>
      <c r="F31" s="5" t="s">
        <v>48</v>
      </c>
      <c r="G31" s="13" t="str">
        <f t="shared" si="4"/>
        <v>38621.432</v>
      </c>
      <c r="H31" s="14">
        <f t="shared" si="5"/>
        <v>-47871</v>
      </c>
      <c r="I31" s="42" t="s">
        <v>112</v>
      </c>
      <c r="J31" s="43" t="s">
        <v>113</v>
      </c>
      <c r="K31" s="42">
        <v>-47871</v>
      </c>
      <c r="L31" s="42" t="s">
        <v>114</v>
      </c>
      <c r="M31" s="43" t="s">
        <v>50</v>
      </c>
      <c r="N31" s="43"/>
      <c r="O31" s="44" t="s">
        <v>55</v>
      </c>
      <c r="P31" s="44" t="s">
        <v>115</v>
      </c>
    </row>
    <row r="32" spans="1:16" ht="12.75" customHeight="1" thickBot="1">
      <c r="A32" s="14" t="str">
        <f t="shared" si="0"/>
        <v>IBVS 5583 </v>
      </c>
      <c r="B32" s="5" t="str">
        <f t="shared" si="1"/>
        <v>II</v>
      </c>
      <c r="C32" s="14">
        <f t="shared" si="2"/>
        <v>52147.367200000001</v>
      </c>
      <c r="D32" s="13" t="str">
        <f t="shared" si="3"/>
        <v>vis</v>
      </c>
      <c r="E32" s="41">
        <f>VLOOKUP(C32,Active!C$21:E$973,3,FALSE)</f>
        <v>44492.285850655069</v>
      </c>
      <c r="F32" s="5" t="s">
        <v>48</v>
      </c>
      <c r="G32" s="13" t="str">
        <f t="shared" si="4"/>
        <v>52147.3672</v>
      </c>
      <c r="H32" s="14">
        <f t="shared" si="5"/>
        <v>-3379.5</v>
      </c>
      <c r="I32" s="42" t="s">
        <v>116</v>
      </c>
      <c r="J32" s="43" t="s">
        <v>117</v>
      </c>
      <c r="K32" s="42">
        <v>-3379.5</v>
      </c>
      <c r="L32" s="42" t="s">
        <v>118</v>
      </c>
      <c r="M32" s="43" t="s">
        <v>119</v>
      </c>
      <c r="N32" s="43" t="s">
        <v>120</v>
      </c>
      <c r="O32" s="44" t="s">
        <v>121</v>
      </c>
      <c r="P32" s="45" t="s">
        <v>122</v>
      </c>
    </row>
    <row r="33" spans="1:16" ht="12.75" customHeight="1" thickBot="1">
      <c r="A33" s="14" t="str">
        <f t="shared" si="0"/>
        <v>IBVS 5583 </v>
      </c>
      <c r="B33" s="5" t="str">
        <f t="shared" si="1"/>
        <v>II</v>
      </c>
      <c r="C33" s="14">
        <f t="shared" si="2"/>
        <v>52440.435400000002</v>
      </c>
      <c r="D33" s="13" t="str">
        <f t="shared" si="3"/>
        <v>vis</v>
      </c>
      <c r="E33" s="41">
        <f>VLOOKUP(C33,Active!C$21:E$973,3,FALSE)</f>
        <v>45456.306004184786</v>
      </c>
      <c r="F33" s="5" t="s">
        <v>48</v>
      </c>
      <c r="G33" s="13" t="str">
        <f t="shared" si="4"/>
        <v>52440.4354</v>
      </c>
      <c r="H33" s="14">
        <f t="shared" si="5"/>
        <v>-2415.5</v>
      </c>
      <c r="I33" s="42" t="s">
        <v>123</v>
      </c>
      <c r="J33" s="43" t="s">
        <v>124</v>
      </c>
      <c r="K33" s="42">
        <v>-2415.5</v>
      </c>
      <c r="L33" s="42" t="s">
        <v>125</v>
      </c>
      <c r="M33" s="43" t="s">
        <v>119</v>
      </c>
      <c r="N33" s="43" t="s">
        <v>120</v>
      </c>
      <c r="O33" s="44" t="s">
        <v>121</v>
      </c>
      <c r="P33" s="45" t="s">
        <v>122</v>
      </c>
    </row>
    <row r="34" spans="1:16" ht="12.75" customHeight="1" thickBot="1">
      <c r="A34" s="14" t="str">
        <f t="shared" si="0"/>
        <v>IBVS 5583 </v>
      </c>
      <c r="B34" s="5" t="str">
        <f t="shared" si="1"/>
        <v>II</v>
      </c>
      <c r="C34" s="14">
        <f t="shared" si="2"/>
        <v>52859.361900000004</v>
      </c>
      <c r="D34" s="13" t="str">
        <f t="shared" si="3"/>
        <v>vis</v>
      </c>
      <c r="E34" s="41">
        <f>VLOOKUP(C34,Active!C$21:E$973,3,FALSE)</f>
        <v>46834.325143919727</v>
      </c>
      <c r="F34" s="5" t="s">
        <v>48</v>
      </c>
      <c r="G34" s="13" t="str">
        <f t="shared" si="4"/>
        <v>52859.3619</v>
      </c>
      <c r="H34" s="14">
        <f t="shared" si="5"/>
        <v>-1037.5</v>
      </c>
      <c r="I34" s="42" t="s">
        <v>126</v>
      </c>
      <c r="J34" s="43" t="s">
        <v>127</v>
      </c>
      <c r="K34" s="42">
        <v>-1037.5</v>
      </c>
      <c r="L34" s="42" t="s">
        <v>128</v>
      </c>
      <c r="M34" s="43" t="s">
        <v>119</v>
      </c>
      <c r="N34" s="43" t="s">
        <v>120</v>
      </c>
      <c r="O34" s="44" t="s">
        <v>121</v>
      </c>
      <c r="P34" s="45" t="s">
        <v>122</v>
      </c>
    </row>
    <row r="35" spans="1:16" ht="12.75" customHeight="1" thickBot="1">
      <c r="A35" s="14" t="str">
        <f t="shared" si="0"/>
        <v>IBVS 5583 </v>
      </c>
      <c r="B35" s="5" t="str">
        <f t="shared" si="1"/>
        <v>I</v>
      </c>
      <c r="C35" s="14">
        <f t="shared" si="2"/>
        <v>52859.515899999999</v>
      </c>
      <c r="D35" s="13" t="str">
        <f t="shared" si="3"/>
        <v>vis</v>
      </c>
      <c r="E35" s="41">
        <f>VLOOKUP(C35,Active!C$21:E$973,3,FALSE)</f>
        <v>46834.831712369109</v>
      </c>
      <c r="F35" s="5" t="s">
        <v>48</v>
      </c>
      <c r="G35" s="13" t="str">
        <f t="shared" si="4"/>
        <v>52859.5159</v>
      </c>
      <c r="H35" s="14">
        <f t="shared" si="5"/>
        <v>-1037</v>
      </c>
      <c r="I35" s="42" t="s">
        <v>129</v>
      </c>
      <c r="J35" s="43" t="s">
        <v>130</v>
      </c>
      <c r="K35" s="42">
        <v>-1037</v>
      </c>
      <c r="L35" s="42" t="s">
        <v>131</v>
      </c>
      <c r="M35" s="43" t="s">
        <v>119</v>
      </c>
      <c r="N35" s="43" t="s">
        <v>120</v>
      </c>
      <c r="O35" s="44" t="s">
        <v>121</v>
      </c>
      <c r="P35" s="45" t="s">
        <v>122</v>
      </c>
    </row>
    <row r="36" spans="1:16" ht="12.75" customHeight="1" thickBot="1">
      <c r="A36" s="14" t="str">
        <f t="shared" si="0"/>
        <v>BAVM 178 </v>
      </c>
      <c r="B36" s="5" t="str">
        <f t="shared" si="1"/>
        <v>II</v>
      </c>
      <c r="C36" s="14">
        <f t="shared" si="2"/>
        <v>53654.361299999997</v>
      </c>
      <c r="D36" s="13" t="str">
        <f t="shared" si="3"/>
        <v>vis</v>
      </c>
      <c r="E36" s="41">
        <f>VLOOKUP(C36,Active!C$21:E$973,3,FALSE)</f>
        <v>49449.40055518585</v>
      </c>
      <c r="F36" s="5" t="s">
        <v>48</v>
      </c>
      <c r="G36" s="13" t="str">
        <f t="shared" si="4"/>
        <v>53654.3613</v>
      </c>
      <c r="H36" s="14">
        <f t="shared" si="5"/>
        <v>1577.5</v>
      </c>
      <c r="I36" s="42" t="s">
        <v>132</v>
      </c>
      <c r="J36" s="43" t="s">
        <v>133</v>
      </c>
      <c r="K36" s="42">
        <v>1577.5</v>
      </c>
      <c r="L36" s="42" t="s">
        <v>134</v>
      </c>
      <c r="M36" s="43" t="s">
        <v>135</v>
      </c>
      <c r="N36" s="43" t="s">
        <v>48</v>
      </c>
      <c r="O36" s="44" t="s">
        <v>136</v>
      </c>
      <c r="P36" s="45" t="s">
        <v>137</v>
      </c>
    </row>
    <row r="37" spans="1:16" ht="12.75" customHeight="1" thickBot="1">
      <c r="A37" s="14" t="str">
        <f t="shared" si="0"/>
        <v>IBVS 5945 </v>
      </c>
      <c r="B37" s="5" t="str">
        <f t="shared" si="1"/>
        <v>II</v>
      </c>
      <c r="C37" s="14">
        <f t="shared" si="2"/>
        <v>55342.846100000002</v>
      </c>
      <c r="D37" s="13" t="str">
        <f t="shared" si="3"/>
        <v>vis</v>
      </c>
      <c r="E37" s="41">
        <f>VLOOKUP(C37,Active!C$21:E$973,3,FALSE)</f>
        <v>55003.51176932847</v>
      </c>
      <c r="F37" s="5" t="s">
        <v>48</v>
      </c>
      <c r="G37" s="13" t="str">
        <f t="shared" si="4"/>
        <v>55342.8461</v>
      </c>
      <c r="H37" s="14">
        <f t="shared" si="5"/>
        <v>7131.5</v>
      </c>
      <c r="I37" s="42" t="s">
        <v>138</v>
      </c>
      <c r="J37" s="43" t="s">
        <v>139</v>
      </c>
      <c r="K37" s="42">
        <v>7131.5</v>
      </c>
      <c r="L37" s="42" t="s">
        <v>140</v>
      </c>
      <c r="M37" s="43" t="s">
        <v>135</v>
      </c>
      <c r="N37" s="43" t="s">
        <v>48</v>
      </c>
      <c r="O37" s="44" t="s">
        <v>141</v>
      </c>
      <c r="P37" s="45" t="s">
        <v>142</v>
      </c>
    </row>
    <row r="38" spans="1:16">
      <c r="B38" s="5"/>
      <c r="E38" s="41"/>
      <c r="F38" s="5"/>
    </row>
    <row r="39" spans="1:16">
      <c r="B39" s="5"/>
      <c r="E39" s="41"/>
      <c r="F39" s="5"/>
    </row>
    <row r="40" spans="1:16">
      <c r="B40" s="5"/>
      <c r="E40" s="41"/>
      <c r="F40" s="5"/>
    </row>
    <row r="41" spans="1:16">
      <c r="B41" s="5"/>
      <c r="E41" s="41"/>
      <c r="F41" s="5"/>
    </row>
    <row r="42" spans="1:16">
      <c r="B42" s="5"/>
      <c r="E42" s="41"/>
      <c r="F42" s="5"/>
    </row>
    <row r="43" spans="1:16">
      <c r="B43" s="5"/>
      <c r="E43" s="41"/>
      <c r="F43" s="5"/>
    </row>
    <row r="44" spans="1:16">
      <c r="B44" s="5"/>
      <c r="E44" s="41"/>
      <c r="F44" s="5"/>
    </row>
    <row r="45" spans="1:16">
      <c r="B45" s="5"/>
      <c r="E45" s="41"/>
      <c r="F45" s="5"/>
    </row>
    <row r="46" spans="1:16">
      <c r="B46" s="5"/>
      <c r="E46" s="41"/>
      <c r="F46" s="5"/>
    </row>
    <row r="47" spans="1:16">
      <c r="B47" s="5"/>
      <c r="E47" s="41"/>
      <c r="F47" s="5"/>
    </row>
    <row r="48" spans="1:16">
      <c r="B48" s="5"/>
      <c r="E48" s="41"/>
      <c r="F48" s="5"/>
    </row>
    <row r="49" spans="2:6">
      <c r="B49" s="5"/>
      <c r="E49" s="41"/>
      <c r="F49" s="5"/>
    </row>
    <row r="50" spans="2:6">
      <c r="B50" s="5"/>
      <c r="E50" s="41"/>
      <c r="F50" s="5"/>
    </row>
    <row r="51" spans="2:6">
      <c r="B51" s="5"/>
      <c r="E51" s="41"/>
      <c r="F51" s="5"/>
    </row>
    <row r="52" spans="2:6">
      <c r="B52" s="5"/>
      <c r="E52" s="41"/>
      <c r="F52" s="5"/>
    </row>
    <row r="53" spans="2:6">
      <c r="B53" s="5"/>
      <c r="E53" s="41"/>
      <c r="F53" s="5"/>
    </row>
    <row r="54" spans="2:6">
      <c r="B54" s="5"/>
      <c r="E54" s="41"/>
      <c r="F54" s="5"/>
    </row>
    <row r="55" spans="2:6">
      <c r="B55" s="5"/>
      <c r="E55" s="41"/>
      <c r="F55" s="5"/>
    </row>
    <row r="56" spans="2:6">
      <c r="B56" s="5"/>
      <c r="E56" s="41"/>
      <c r="F56" s="5"/>
    </row>
    <row r="57" spans="2:6">
      <c r="B57" s="5"/>
      <c r="E57" s="41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</sheetData>
  <phoneticPr fontId="7" type="noConversion"/>
  <hyperlinks>
    <hyperlink ref="A3" r:id="rId1"/>
    <hyperlink ref="P32" r:id="rId2" display="http://www.konkoly.hu/cgi-bin/IBVS?5583"/>
    <hyperlink ref="P33" r:id="rId3" display="http://www.konkoly.hu/cgi-bin/IBVS?5583"/>
    <hyperlink ref="P34" r:id="rId4" display="http://www.konkoly.hu/cgi-bin/IBVS?5583"/>
    <hyperlink ref="P35" r:id="rId5" display="http://www.konkoly.hu/cgi-bin/IBVS?5583"/>
    <hyperlink ref="P36" r:id="rId6" display="http://www.bav-astro.de/sfs/BAVM_link.php?BAVMnr=178"/>
    <hyperlink ref="P37" r:id="rId7" display="http://www.konkoly.hu/cgi-bin/IBVS?594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2024-01-11T04:45:54Z</dcterms:modified>
</cp:coreProperties>
</file>