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98C510A-F34C-46BF-9D54-834C6FF6225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6" i="1" l="1"/>
  <c r="F17" i="1" s="1"/>
  <c r="D9" i="1"/>
  <c r="C9" i="1"/>
  <c r="C21" i="1"/>
  <c r="E21" i="1"/>
  <c r="F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53" i="1"/>
  <c r="G42" i="2"/>
  <c r="C42" i="2"/>
  <c r="G16" i="2"/>
  <c r="C16" i="2"/>
  <c r="G15" i="2"/>
  <c r="C15" i="2"/>
  <c r="G14" i="2"/>
  <c r="C14" i="2"/>
  <c r="G13" i="2"/>
  <c r="C13" i="2"/>
  <c r="G12" i="2"/>
  <c r="C12" i="2"/>
  <c r="G11" i="2"/>
  <c r="C11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E18" i="2"/>
  <c r="G17" i="2"/>
  <c r="C17" i="2"/>
  <c r="H42" i="2"/>
  <c r="D42" i="2"/>
  <c r="B42" i="2"/>
  <c r="A42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C17" i="1"/>
  <c r="Q47" i="1"/>
  <c r="Q48" i="1"/>
  <c r="Q49" i="1"/>
  <c r="Q50" i="1"/>
  <c r="Q51" i="1"/>
  <c r="Q52" i="1"/>
  <c r="C7" i="1"/>
  <c r="G23" i="1"/>
  <c r="I23" i="1"/>
  <c r="C8" i="1"/>
  <c r="E23" i="1"/>
  <c r="F23" i="1"/>
  <c r="Q21" i="1"/>
  <c r="E33" i="2"/>
  <c r="E13" i="2"/>
  <c r="E31" i="2"/>
  <c r="E31" i="1"/>
  <c r="F31" i="1"/>
  <c r="E49" i="1"/>
  <c r="F49" i="1"/>
  <c r="E42" i="1"/>
  <c r="E34" i="1"/>
  <c r="E26" i="1"/>
  <c r="E51" i="1"/>
  <c r="F51" i="1"/>
  <c r="G51" i="1"/>
  <c r="I51" i="1"/>
  <c r="E44" i="1"/>
  <c r="F44" i="1"/>
  <c r="G44" i="1"/>
  <c r="I44" i="1"/>
  <c r="E36" i="1"/>
  <c r="F36" i="1"/>
  <c r="G36" i="1"/>
  <c r="I36" i="1"/>
  <c r="G30" i="1"/>
  <c r="I30" i="1"/>
  <c r="E28" i="1"/>
  <c r="F28" i="1"/>
  <c r="G28" i="1"/>
  <c r="I28" i="1"/>
  <c r="E39" i="1"/>
  <c r="F39" i="1"/>
  <c r="E47" i="1"/>
  <c r="F47" i="1"/>
  <c r="E48" i="1"/>
  <c r="F48" i="1"/>
  <c r="G48" i="1"/>
  <c r="I48" i="1"/>
  <c r="E41" i="1"/>
  <c r="G35" i="1"/>
  <c r="I35" i="1"/>
  <c r="E33" i="1"/>
  <c r="G27" i="1"/>
  <c r="I27" i="1"/>
  <c r="E25" i="1"/>
  <c r="G21" i="1"/>
  <c r="E46" i="1"/>
  <c r="F46" i="1"/>
  <c r="G46" i="1"/>
  <c r="I46" i="1"/>
  <c r="G40" i="1"/>
  <c r="I40" i="1"/>
  <c r="E38" i="1"/>
  <c r="F38" i="1"/>
  <c r="G38" i="1"/>
  <c r="I38" i="1"/>
  <c r="G32" i="1"/>
  <c r="I32" i="1"/>
  <c r="E30" i="1"/>
  <c r="F30" i="1"/>
  <c r="E50" i="1"/>
  <c r="E43" i="1"/>
  <c r="F43" i="1"/>
  <c r="G43" i="1"/>
  <c r="I43" i="1"/>
  <c r="G37" i="1"/>
  <c r="I37" i="1"/>
  <c r="E35" i="1"/>
  <c r="F35" i="1"/>
  <c r="G29" i="1"/>
  <c r="I29" i="1"/>
  <c r="E27" i="1"/>
  <c r="F27" i="1"/>
  <c r="E22" i="1"/>
  <c r="F22" i="1"/>
  <c r="G22" i="1"/>
  <c r="I22" i="1"/>
  <c r="G49" i="1"/>
  <c r="I49" i="1"/>
  <c r="E52" i="1"/>
  <c r="F52" i="1"/>
  <c r="G52" i="1"/>
  <c r="I52" i="1"/>
  <c r="E40" i="1"/>
  <c r="F40" i="1"/>
  <c r="E32" i="1"/>
  <c r="F32" i="1"/>
  <c r="E24" i="1"/>
  <c r="F24" i="1"/>
  <c r="G24" i="1"/>
  <c r="I24" i="1"/>
  <c r="E53" i="1"/>
  <c r="F53" i="1"/>
  <c r="G53" i="1"/>
  <c r="I53" i="1"/>
  <c r="E45" i="1"/>
  <c r="F45" i="1"/>
  <c r="G45" i="1"/>
  <c r="I45" i="1"/>
  <c r="G39" i="1"/>
  <c r="I39" i="1"/>
  <c r="E37" i="1"/>
  <c r="F37" i="1"/>
  <c r="G31" i="1"/>
  <c r="I31" i="1"/>
  <c r="E29" i="1"/>
  <c r="F29" i="1"/>
  <c r="E28" i="2"/>
  <c r="F33" i="1"/>
  <c r="G33" i="1"/>
  <c r="I33" i="1"/>
  <c r="E15" i="2"/>
  <c r="E23" i="2"/>
  <c r="E19" i="2"/>
  <c r="F34" i="1"/>
  <c r="G34" i="1"/>
  <c r="I34" i="1"/>
  <c r="E29" i="2"/>
  <c r="E36" i="2"/>
  <c r="F41" i="1"/>
  <c r="G41" i="1"/>
  <c r="I41" i="1"/>
  <c r="E41" i="2"/>
  <c r="E39" i="2"/>
  <c r="E12" i="2"/>
  <c r="E14" i="2"/>
  <c r="F50" i="1"/>
  <c r="G50" i="1"/>
  <c r="I50" i="1"/>
  <c r="F42" i="1"/>
  <c r="G42" i="1"/>
  <c r="I42" i="1"/>
  <c r="E37" i="2"/>
  <c r="E30" i="2"/>
  <c r="E25" i="2"/>
  <c r="E16" i="2"/>
  <c r="E26" i="2"/>
  <c r="E42" i="2"/>
  <c r="E11" i="2"/>
  <c r="H21" i="1"/>
  <c r="E22" i="2"/>
  <c r="E38" i="2"/>
  <c r="E32" i="2"/>
  <c r="E20" i="2"/>
  <c r="F25" i="1"/>
  <c r="G25" i="1"/>
  <c r="E40" i="2"/>
  <c r="E34" i="2"/>
  <c r="E27" i="2"/>
  <c r="F26" i="1"/>
  <c r="G26" i="1"/>
  <c r="I26" i="1"/>
  <c r="E21" i="2"/>
  <c r="E35" i="2"/>
  <c r="E24" i="2"/>
  <c r="E17" i="2"/>
  <c r="I25" i="1"/>
  <c r="C12" i="1"/>
  <c r="C11" i="1"/>
  <c r="O50" i="1" l="1"/>
  <c r="O41" i="1"/>
  <c r="O31" i="1"/>
  <c r="O47" i="1"/>
  <c r="O27" i="1"/>
  <c r="O48" i="1"/>
  <c r="O28" i="1"/>
  <c r="O37" i="1"/>
  <c r="O22" i="1"/>
  <c r="O26" i="1"/>
  <c r="C15" i="1"/>
  <c r="O32" i="1"/>
  <c r="O39" i="1"/>
  <c r="O29" i="1"/>
  <c r="O35" i="1"/>
  <c r="O21" i="1"/>
  <c r="O53" i="1"/>
  <c r="O43" i="1"/>
  <c r="O36" i="1"/>
  <c r="O30" i="1"/>
  <c r="O49" i="1"/>
  <c r="O33" i="1"/>
  <c r="O40" i="1"/>
  <c r="O45" i="1"/>
  <c r="O23" i="1"/>
  <c r="O44" i="1"/>
  <c r="O34" i="1"/>
  <c r="O38" i="1"/>
  <c r="O46" i="1"/>
  <c r="O51" i="1"/>
  <c r="O42" i="1"/>
  <c r="O24" i="1"/>
  <c r="O25" i="1"/>
  <c r="O5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<sst xmlns="http://schemas.openxmlformats.org/spreadsheetml/2006/main" count="379" uniqueCount="169">
  <si>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</si>
  <si>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</si>
  <si>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</si>
  <si>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</si>
  <si>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</si>
  <si>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</si>
  <si>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</si>
  <si>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</si>
  <si>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</si>
  <si>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</si>
  <si>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</si>
  <si>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</si>
  <si>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</si>
  <si>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</si>
  <si>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</si>
  <si>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</si>
  <si>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</si>
  <si>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</si>
  <si>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</si>
  <si>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Linear</t>
  </si>
  <si>
    <t>Quadratic</t>
  </si>
  <si>
    <t>Q. Fit</t>
  </si>
  <si>
    <t>Lin Fit</t>
  </si>
  <si>
    <t>Sum diff² =</t>
  </si>
  <si>
    <t>System Type:</t>
  </si>
  <si>
    <t>Locher K</t>
  </si>
  <si>
    <t>BBSAG Bull.84</t>
  </si>
  <si>
    <t>B</t>
  </si>
  <si>
    <t>Paschke A</t>
  </si>
  <si>
    <t>BBSAG Bull.86</t>
  </si>
  <si>
    <t>BBSAG Bull.90</t>
  </si>
  <si>
    <t>BBSAG Bull.99</t>
  </si>
  <si>
    <t>BBSAG Bull.117</t>
  </si>
  <si>
    <t>Possible eccentric orbit</t>
  </si>
  <si>
    <t># of data points:</t>
  </si>
  <si>
    <t>EI Aqr / gsc 5207-0206</t>
  </si>
  <si>
    <t>EA/SD: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</si>
  <si>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</si>
  <si>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</si>
  <si>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</si>
  <si>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</si>
  <si>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</si>
  <si>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</si>
  <si>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</si>
  <si>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</si>
  <si>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</si>
  <si>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</si>
  <si>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</si>
  <si>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</si>
  <si>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2425853.385 </t>
  </si>
  <si>
    <t> 29.08.1929 21:14 </t>
  </si>
  <si>
    <t> -0.616 </t>
  </si>
  <si>
    <t>P </t>
  </si>
  <si>
    <t> L.Meinunger </t>
  </si>
  <si>
    <t> MVS 3.166 </t>
  </si>
  <si>
    <t>2425880.308 </t>
  </si>
  <si>
    <t> 25.09.1929 19:23 </t>
  </si>
  <si>
    <t> -0.584 </t>
  </si>
  <si>
    <t>2426920.456 </t>
  </si>
  <si>
    <t> 31.07.1932 22:56 </t>
  </si>
  <si>
    <t> -0.629 </t>
  </si>
  <si>
    <t>2426931.470 </t>
  </si>
  <si>
    <t> 11.08.1932 23:16 </t>
  </si>
  <si>
    <t>2427689.372 </t>
  </si>
  <si>
    <t> 08.09.1934 20:55 </t>
  </si>
  <si>
    <t> -0.551 </t>
  </si>
  <si>
    <t>2429547.30 </t>
  </si>
  <si>
    <t> 10.10.1939 19:12 </t>
  </si>
  <si>
    <t> -0.55 </t>
  </si>
  <si>
    <t> N.Shakhovskoy </t>
  </si>
  <si>
    <t> BSAO 17.28 </t>
  </si>
  <si>
    <t>2429552.16 </t>
  </si>
  <si>
    <t> 15.10.1939 15:50 </t>
  </si>
  <si>
    <t> -0.58 </t>
  </si>
  <si>
    <t>2429904.20 </t>
  </si>
  <si>
    <t> 01.10.1940 16:48 </t>
  </si>
  <si>
    <t> -0.56 </t>
  </si>
  <si>
    <t>2430999.367 </t>
  </si>
  <si>
    <t> 01.10.1943 20:48 </t>
  </si>
  <si>
    <t> -0.593 </t>
  </si>
  <si>
    <t>2432742.37 </t>
  </si>
  <si>
    <t> 09.07.1948 20:52 </t>
  </si>
  <si>
    <t> -0.62 </t>
  </si>
  <si>
    <t>2433160.460 </t>
  </si>
  <si>
    <t> 31.08.1949 23:02 </t>
  </si>
  <si>
    <t> -0.558 </t>
  </si>
  <si>
    <t>2433858.37 </t>
  </si>
  <si>
    <t> 30.07.1951 20:52 </t>
  </si>
  <si>
    <t> -0.59 </t>
  </si>
  <si>
    <t>2433918.16 </t>
  </si>
  <si>
    <t> 28.09.1951 15:50 </t>
  </si>
  <si>
    <t> -0.70 </t>
  </si>
  <si>
    <t>2434270.274 </t>
  </si>
  <si>
    <t> 14.09.1952 18:34 </t>
  </si>
  <si>
    <t> -0.609 </t>
  </si>
  <si>
    <t>2437883.468 </t>
  </si>
  <si>
    <t> 06.08.1962 23:13 </t>
  </si>
  <si>
    <t> -0.587 </t>
  </si>
  <si>
    <t>2437932.379 </t>
  </si>
  <si>
    <t> 24.09.1962 21:05 </t>
  </si>
  <si>
    <t> -0.569 </t>
  </si>
  <si>
    <t>2437970.249 </t>
  </si>
  <si>
    <t> 01.11.1962 17:58 </t>
  </si>
  <si>
    <t> -0.591 </t>
  </si>
  <si>
    <t>2438284.422 </t>
  </si>
  <si>
    <t> 11.09.1963 22:07 </t>
  </si>
  <si>
    <t> -0.553 </t>
  </si>
  <si>
    <t>2438614.41 </t>
  </si>
  <si>
    <t> 06.08.1964 21:50 </t>
  </si>
  <si>
    <t>2438641.30 </t>
  </si>
  <si>
    <t> 02.09.1964 19:12 </t>
  </si>
  <si>
    <t>2438642.53 </t>
  </si>
  <si>
    <t> 04.09.1964 00:43 </t>
  </si>
  <si>
    <t>2438669.384 </t>
  </si>
  <si>
    <t> 30.09.1964 21:12 </t>
  </si>
  <si>
    <t> -0.621 </t>
  </si>
  <si>
    <t>2438977.475 </t>
  </si>
  <si>
    <t> 04.08.1965 23:24 </t>
  </si>
  <si>
    <t> -0.555 </t>
  </si>
  <si>
    <t>2439026.356 </t>
  </si>
  <si>
    <t> 22.09.1965 20:32 </t>
  </si>
  <si>
    <t> -0.566 </t>
  </si>
  <si>
    <t>2439059.318 </t>
  </si>
  <si>
    <t> 25.10.1965 19:37 </t>
  </si>
  <si>
    <t> -0.607 </t>
  </si>
  <si>
    <t>2446997.536 </t>
  </si>
  <si>
    <t> 21.07.1987 00:51 </t>
  </si>
  <si>
    <t> -0.122 </t>
  </si>
  <si>
    <t>V </t>
  </si>
  <si>
    <t> K.Locher </t>
  </si>
  <si>
    <t> BBS 84 </t>
  </si>
  <si>
    <t>2447037.385 </t>
  </si>
  <si>
    <t> 29.08.1987 21:14 </t>
  </si>
  <si>
    <t> 0.002 </t>
  </si>
  <si>
    <t> A.Paschke </t>
  </si>
  <si>
    <t> BBS 86 </t>
  </si>
  <si>
    <t>2447059.380 </t>
  </si>
  <si>
    <t> 20.09.1987 21:07 </t>
  </si>
  <si>
    <t> -0.005 </t>
  </si>
  <si>
    <t>2447449.293 </t>
  </si>
  <si>
    <t> 14.10.1988 19:01 </t>
  </si>
  <si>
    <t> -0.012 </t>
  </si>
  <si>
    <t>2448538.395 </t>
  </si>
  <si>
    <t> 08.10.1991 21:28 </t>
  </si>
  <si>
    <t> 0.005 </t>
  </si>
  <si>
    <t>E </t>
  </si>
  <si>
    <t>?</t>
  </si>
  <si>
    <t> BBS 99 </t>
  </si>
  <si>
    <t>2450726.338 </t>
  </si>
  <si>
    <t> 04.10.1997 20:06 </t>
  </si>
  <si>
    <t> -0.001 </t>
  </si>
  <si>
    <t> BBS 117 </t>
  </si>
  <si>
    <t>2452194.352 </t>
  </si>
  <si>
    <t> 11.10.2001 20:26 </t>
  </si>
  <si>
    <t> 0.009 </t>
  </si>
  <si>
    <t> BBS 128 </t>
  </si>
  <si>
    <t>II</t>
  </si>
  <si>
    <t>I</t>
  </si>
  <si>
    <t>s5</t>
  </si>
  <si>
    <t>s6</t>
  </si>
  <si>
    <t>s7</t>
  </si>
  <si>
    <t>My time zone &gt;&gt;&gt;&gt;&gt;</t>
  </si>
  <si>
    <t>(PST=8, PDT=MDT=7, MDT=CST=6, etc.)</t>
  </si>
  <si>
    <t>Start of linear fit (row #)</t>
  </si>
  <si>
    <t>Add cycle</t>
  </si>
  <si>
    <t>JD today</t>
  </si>
  <si>
    <t>Old Cycle</t>
  </si>
  <si>
    <t>New Cycle</t>
  </si>
  <si>
    <t>Next 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</si>
</sst>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1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5" fillId="0" borderId="5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5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9" fillId="0" borderId="0" xfId="0" applyFont="1" applyAlignment="1">
      <alignment horizontal="left"/>
    </xf>
    <xf numFmtId="0" fontId="16" fillId="0" borderId="0" xfId="0" applyFont="1">
      <alignment vertical="top"/>
    </xf>
    <xf numFmtId="0" fontId="17" fillId="0" borderId="0" xfId="0" applyFont="1">
      <alignment vertical="top"/>
    </xf>
    <xf numFmtId="0" fontId="16" fillId="0" borderId="0" xfId="0" applyFont="1" applyAlignment="1"/>
    <xf numFmtId="0" fontId="17" fillId="0" borderId="0" xfId="0" applyFont="1" applyAlignment="1"/>
    <xf numFmtId="0" fontId="16" fillId="0" borderId="0" xfId="0" applyFont="1" applyAlignment="1">
      <alignment horizontal="center"/>
    </xf>
    <xf numFmtId="0" fontId="13" fillId="0" borderId="0" xfId="0" applyFont="1">
      <alignment vertical="top"/>
    </xf>
    <xf numFmtId="0" fontId="17" fillId="0" borderId="0" xfId="0" applyFont="1" applyAlignment="1">
      <alignment horizontal="center" vertical="top"/>
    </xf>
    <xf numFmtId="0" fontId="12" fillId="0" borderId="0" xfId="0" applyFont="1">
      <alignment vertical="top"/>
    </xf>
    <xf numFmtId="22" fontId="10" fillId="0" borderId="0" xfId="0" applyNumberFormat="1" applyFont="1">
      <alignment vertical="top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EI Aqr - O-C Diagr.</a:t>
            </a:r>
          </a:p>
        </c:rich>
      </c:tx>
      <c:layout>
        <c:manualLayout>
          <c:xMode val="edge"/>
          <c:yMode val="edge"/>
          <c:x val="0.35330621895403569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860681114551083"/>
          <c:w val="0.7623974633561702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22</c:v>
                </c:pt>
                <c:pt idx="3">
                  <c:v>873</c:v>
                </c:pt>
                <c:pt idx="4">
                  <c:v>882</c:v>
                </c:pt>
                <c:pt idx="5">
                  <c:v>1502</c:v>
                </c:pt>
                <c:pt idx="6">
                  <c:v>3022</c:v>
                </c:pt>
                <c:pt idx="7">
                  <c:v>3026</c:v>
                </c:pt>
                <c:pt idx="8">
                  <c:v>3314</c:v>
                </c:pt>
                <c:pt idx="9">
                  <c:v>4210</c:v>
                </c:pt>
                <c:pt idx="10">
                  <c:v>5636</c:v>
                </c:pt>
                <c:pt idx="11">
                  <c:v>5978</c:v>
                </c:pt>
                <c:pt idx="12">
                  <c:v>6549</c:v>
                </c:pt>
                <c:pt idx="13">
                  <c:v>6598</c:v>
                </c:pt>
                <c:pt idx="14">
                  <c:v>6886</c:v>
                </c:pt>
                <c:pt idx="15">
                  <c:v>9842</c:v>
                </c:pt>
                <c:pt idx="16">
                  <c:v>9882</c:v>
                </c:pt>
                <c:pt idx="17">
                  <c:v>9913</c:v>
                </c:pt>
                <c:pt idx="18">
                  <c:v>10170</c:v>
                </c:pt>
                <c:pt idx="19">
                  <c:v>10440</c:v>
                </c:pt>
                <c:pt idx="20">
                  <c:v>10462</c:v>
                </c:pt>
                <c:pt idx="21">
                  <c:v>10463</c:v>
                </c:pt>
                <c:pt idx="22">
                  <c:v>10485</c:v>
                </c:pt>
                <c:pt idx="23">
                  <c:v>10737</c:v>
                </c:pt>
                <c:pt idx="24">
                  <c:v>10777</c:v>
                </c:pt>
                <c:pt idx="25">
                  <c:v>10804</c:v>
                </c:pt>
                <c:pt idx="26">
                  <c:v>17298.5</c:v>
                </c:pt>
                <c:pt idx="27">
                  <c:v>17331</c:v>
                </c:pt>
                <c:pt idx="28">
                  <c:v>17349</c:v>
                </c:pt>
                <c:pt idx="29">
                  <c:v>17668</c:v>
                </c:pt>
                <c:pt idx="30">
                  <c:v>18559</c:v>
                </c:pt>
                <c:pt idx="31">
                  <c:v>20349</c:v>
                </c:pt>
                <c:pt idx="32">
                  <c:v>21550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28-4349-B5C8-630620CFEEB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30">
                    <c:v>1.2E-2</c:v>
                  </c:pt>
                  <c:pt idx="31">
                    <c:v>3.0000000000000001E-3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30">
                    <c:v>1.2E-2</c:v>
                  </c:pt>
                  <c:pt idx="31">
                    <c:v>3.0000000000000001E-3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22</c:v>
                </c:pt>
                <c:pt idx="3">
                  <c:v>873</c:v>
                </c:pt>
                <c:pt idx="4">
                  <c:v>882</c:v>
                </c:pt>
                <c:pt idx="5">
                  <c:v>1502</c:v>
                </c:pt>
                <c:pt idx="6">
                  <c:v>3022</c:v>
                </c:pt>
                <c:pt idx="7">
                  <c:v>3026</c:v>
                </c:pt>
                <c:pt idx="8">
                  <c:v>3314</c:v>
                </c:pt>
                <c:pt idx="9">
                  <c:v>4210</c:v>
                </c:pt>
                <c:pt idx="10">
                  <c:v>5636</c:v>
                </c:pt>
                <c:pt idx="11">
                  <c:v>5978</c:v>
                </c:pt>
                <c:pt idx="12">
                  <c:v>6549</c:v>
                </c:pt>
                <c:pt idx="13">
                  <c:v>6598</c:v>
                </c:pt>
                <c:pt idx="14">
                  <c:v>6886</c:v>
                </c:pt>
                <c:pt idx="15">
                  <c:v>9842</c:v>
                </c:pt>
                <c:pt idx="16">
                  <c:v>9882</c:v>
                </c:pt>
                <c:pt idx="17">
                  <c:v>9913</c:v>
                </c:pt>
                <c:pt idx="18">
                  <c:v>10170</c:v>
                </c:pt>
                <c:pt idx="19">
                  <c:v>10440</c:v>
                </c:pt>
                <c:pt idx="20">
                  <c:v>10462</c:v>
                </c:pt>
                <c:pt idx="21">
                  <c:v>10463</c:v>
                </c:pt>
                <c:pt idx="22">
                  <c:v>10485</c:v>
                </c:pt>
                <c:pt idx="23">
                  <c:v>10737</c:v>
                </c:pt>
                <c:pt idx="24">
                  <c:v>10777</c:v>
                </c:pt>
                <c:pt idx="25">
                  <c:v>10804</c:v>
                </c:pt>
                <c:pt idx="26">
                  <c:v>17298.5</c:v>
                </c:pt>
                <c:pt idx="27">
                  <c:v>17331</c:v>
                </c:pt>
                <c:pt idx="28">
                  <c:v>17349</c:v>
                </c:pt>
                <c:pt idx="29">
                  <c:v>17668</c:v>
                </c:pt>
                <c:pt idx="30">
                  <c:v>18559</c:v>
                </c:pt>
                <c:pt idx="31">
                  <c:v>20349</c:v>
                </c:pt>
                <c:pt idx="32">
                  <c:v>21550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-2.5000000001455192E-2</c:v>
                </c:pt>
                <c:pt idx="2">
                  <c:v>7.0040000027802307E-3</c:v>
                </c:pt>
                <c:pt idx="3">
                  <c:v>-3.7614000000758097E-2</c:v>
                </c:pt>
                <c:pt idx="4">
                  <c:v>-2.4475999998685438E-2</c:v>
                </c:pt>
                <c:pt idx="5">
                  <c:v>4.0364000000408851E-2</c:v>
                </c:pt>
                <c:pt idx="6">
                  <c:v>4.5003999999607913E-2</c:v>
                </c:pt>
                <c:pt idx="7">
                  <c:v>1.5731999999843538E-2</c:v>
                </c:pt>
                <c:pt idx="8">
                  <c:v>2.8148000001237961E-2</c:v>
                </c:pt>
                <c:pt idx="9">
                  <c:v>-1.7800000023271423E-3</c:v>
                </c:pt>
                <c:pt idx="10">
                  <c:v>-2.424800000153482E-2</c:v>
                </c:pt>
                <c:pt idx="11">
                  <c:v>3.2996000001730863E-2</c:v>
                </c:pt>
                <c:pt idx="12">
                  <c:v>-5.8200000057695433E-4</c:v>
                </c:pt>
                <c:pt idx="13">
                  <c:v>-0.10416399999667192</c:v>
                </c:pt>
                <c:pt idx="14">
                  <c:v>-1.7748000005667564E-2</c:v>
                </c:pt>
                <c:pt idx="15">
                  <c:v>4.2440000033820979E-3</c:v>
                </c:pt>
                <c:pt idx="16">
                  <c:v>2.2523999999975786E-2</c:v>
                </c:pt>
                <c:pt idx="17">
                  <c:v>6.6599999991012737E-4</c:v>
                </c:pt>
                <c:pt idx="18">
                  <c:v>3.7940000001981389E-2</c:v>
                </c:pt>
                <c:pt idx="19">
                  <c:v>8.0000005254987627E-5</c:v>
                </c:pt>
                <c:pt idx="20">
                  <c:v>-9.1599999723257497E-4</c:v>
                </c:pt>
                <c:pt idx="21">
                  <c:v>6.7659999986062758E-3</c:v>
                </c:pt>
                <c:pt idx="22">
                  <c:v>-3.0230000003939494E-2</c:v>
                </c:pt>
                <c:pt idx="23">
                  <c:v>3.6633999996411148E-2</c:v>
                </c:pt>
                <c:pt idx="24">
                  <c:v>2.4914000001444947E-2</c:v>
                </c:pt>
                <c:pt idx="25">
                  <c:v>-1.5672000001359265E-2</c:v>
                </c:pt>
                <c:pt idx="26">
                  <c:v>-0.141922999995586</c:v>
                </c:pt>
                <c:pt idx="27">
                  <c:v>-1.8257999996421859E-2</c:v>
                </c:pt>
                <c:pt idx="28">
                  <c:v>-2.4982000002637506E-2</c:v>
                </c:pt>
                <c:pt idx="29">
                  <c:v>-3.1424000000697561E-2</c:v>
                </c:pt>
                <c:pt idx="30">
                  <c:v>-1.4761999998881947E-2</c:v>
                </c:pt>
                <c:pt idx="31">
                  <c:v>-2.0982000001822598E-2</c:v>
                </c:pt>
                <c:pt idx="32">
                  <c:v>-1.0900000001129229E-2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28-4349-B5C8-630620CFEEB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22</c:v>
                </c:pt>
                <c:pt idx="3">
                  <c:v>873</c:v>
                </c:pt>
                <c:pt idx="4">
                  <c:v>882</c:v>
                </c:pt>
                <c:pt idx="5">
                  <c:v>1502</c:v>
                </c:pt>
                <c:pt idx="6">
                  <c:v>3022</c:v>
                </c:pt>
                <c:pt idx="7">
                  <c:v>3026</c:v>
                </c:pt>
                <c:pt idx="8">
                  <c:v>3314</c:v>
                </c:pt>
                <c:pt idx="9">
                  <c:v>4210</c:v>
                </c:pt>
                <c:pt idx="10">
                  <c:v>5636</c:v>
                </c:pt>
                <c:pt idx="11">
                  <c:v>5978</c:v>
                </c:pt>
                <c:pt idx="12">
                  <c:v>6549</c:v>
                </c:pt>
                <c:pt idx="13">
                  <c:v>6598</c:v>
                </c:pt>
                <c:pt idx="14">
                  <c:v>6886</c:v>
                </c:pt>
                <c:pt idx="15">
                  <c:v>9842</c:v>
                </c:pt>
                <c:pt idx="16">
                  <c:v>9882</c:v>
                </c:pt>
                <c:pt idx="17">
                  <c:v>9913</c:v>
                </c:pt>
                <c:pt idx="18">
                  <c:v>10170</c:v>
                </c:pt>
                <c:pt idx="19">
                  <c:v>10440</c:v>
                </c:pt>
                <c:pt idx="20">
                  <c:v>10462</c:v>
                </c:pt>
                <c:pt idx="21">
                  <c:v>10463</c:v>
                </c:pt>
                <c:pt idx="22">
                  <c:v>10485</c:v>
                </c:pt>
                <c:pt idx="23">
                  <c:v>10737</c:v>
                </c:pt>
                <c:pt idx="24">
                  <c:v>10777</c:v>
                </c:pt>
                <c:pt idx="25">
                  <c:v>10804</c:v>
                </c:pt>
                <c:pt idx="26">
                  <c:v>17298.5</c:v>
                </c:pt>
                <c:pt idx="27">
                  <c:v>17331</c:v>
                </c:pt>
                <c:pt idx="28">
                  <c:v>17349</c:v>
                </c:pt>
                <c:pt idx="29">
                  <c:v>17668</c:v>
                </c:pt>
                <c:pt idx="30">
                  <c:v>18559</c:v>
                </c:pt>
                <c:pt idx="31">
                  <c:v>20349</c:v>
                </c:pt>
                <c:pt idx="32">
                  <c:v>21550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28-4349-B5C8-630620CFEEB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30">
                    <c:v>1.2E-2</c:v>
                  </c:pt>
                  <c:pt idx="31">
                    <c:v>3.0000000000000001E-3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30">
                    <c:v>1.2E-2</c:v>
                  </c:pt>
                  <c:pt idx="31">
                    <c:v>3.0000000000000001E-3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22</c:v>
                </c:pt>
                <c:pt idx="3">
                  <c:v>873</c:v>
                </c:pt>
                <c:pt idx="4">
                  <c:v>882</c:v>
                </c:pt>
                <c:pt idx="5">
                  <c:v>1502</c:v>
                </c:pt>
                <c:pt idx="6">
                  <c:v>3022</c:v>
                </c:pt>
                <c:pt idx="7">
                  <c:v>3026</c:v>
                </c:pt>
                <c:pt idx="8">
                  <c:v>3314</c:v>
                </c:pt>
                <c:pt idx="9">
                  <c:v>4210</c:v>
                </c:pt>
                <c:pt idx="10">
                  <c:v>5636</c:v>
                </c:pt>
                <c:pt idx="11">
                  <c:v>5978</c:v>
                </c:pt>
                <c:pt idx="12">
                  <c:v>6549</c:v>
                </c:pt>
                <c:pt idx="13">
                  <c:v>6598</c:v>
                </c:pt>
                <c:pt idx="14">
                  <c:v>6886</c:v>
                </c:pt>
                <c:pt idx="15">
                  <c:v>9842</c:v>
                </c:pt>
                <c:pt idx="16">
                  <c:v>9882</c:v>
                </c:pt>
                <c:pt idx="17">
                  <c:v>9913</c:v>
                </c:pt>
                <c:pt idx="18">
                  <c:v>10170</c:v>
                </c:pt>
                <c:pt idx="19">
                  <c:v>10440</c:v>
                </c:pt>
                <c:pt idx="20">
                  <c:v>10462</c:v>
                </c:pt>
                <c:pt idx="21">
                  <c:v>10463</c:v>
                </c:pt>
                <c:pt idx="22">
                  <c:v>10485</c:v>
                </c:pt>
                <c:pt idx="23">
                  <c:v>10737</c:v>
                </c:pt>
                <c:pt idx="24">
                  <c:v>10777</c:v>
                </c:pt>
                <c:pt idx="25">
                  <c:v>10804</c:v>
                </c:pt>
                <c:pt idx="26">
                  <c:v>17298.5</c:v>
                </c:pt>
                <c:pt idx="27">
                  <c:v>17331</c:v>
                </c:pt>
                <c:pt idx="28">
                  <c:v>17349</c:v>
                </c:pt>
                <c:pt idx="29">
                  <c:v>17668</c:v>
                </c:pt>
                <c:pt idx="30">
                  <c:v>18559</c:v>
                </c:pt>
                <c:pt idx="31">
                  <c:v>20349</c:v>
                </c:pt>
                <c:pt idx="32">
                  <c:v>21550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28-4349-B5C8-630620CFEEB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30">
                    <c:v>1.2E-2</c:v>
                  </c:pt>
                  <c:pt idx="31">
                    <c:v>3.0000000000000001E-3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30">
                    <c:v>1.2E-2</c:v>
                  </c:pt>
                  <c:pt idx="31">
                    <c:v>3.0000000000000001E-3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22</c:v>
                </c:pt>
                <c:pt idx="3">
                  <c:v>873</c:v>
                </c:pt>
                <c:pt idx="4">
                  <c:v>882</c:v>
                </c:pt>
                <c:pt idx="5">
                  <c:v>1502</c:v>
                </c:pt>
                <c:pt idx="6">
                  <c:v>3022</c:v>
                </c:pt>
                <c:pt idx="7">
                  <c:v>3026</c:v>
                </c:pt>
                <c:pt idx="8">
                  <c:v>3314</c:v>
                </c:pt>
                <c:pt idx="9">
                  <c:v>4210</c:v>
                </c:pt>
                <c:pt idx="10">
                  <c:v>5636</c:v>
                </c:pt>
                <c:pt idx="11">
                  <c:v>5978</c:v>
                </c:pt>
                <c:pt idx="12">
                  <c:v>6549</c:v>
                </c:pt>
                <c:pt idx="13">
                  <c:v>6598</c:v>
                </c:pt>
                <c:pt idx="14">
                  <c:v>6886</c:v>
                </c:pt>
                <c:pt idx="15">
                  <c:v>9842</c:v>
                </c:pt>
                <c:pt idx="16">
                  <c:v>9882</c:v>
                </c:pt>
                <c:pt idx="17">
                  <c:v>9913</c:v>
                </c:pt>
                <c:pt idx="18">
                  <c:v>10170</c:v>
                </c:pt>
                <c:pt idx="19">
                  <c:v>10440</c:v>
                </c:pt>
                <c:pt idx="20">
                  <c:v>10462</c:v>
                </c:pt>
                <c:pt idx="21">
                  <c:v>10463</c:v>
                </c:pt>
                <c:pt idx="22">
                  <c:v>10485</c:v>
                </c:pt>
                <c:pt idx="23">
                  <c:v>10737</c:v>
                </c:pt>
                <c:pt idx="24">
                  <c:v>10777</c:v>
                </c:pt>
                <c:pt idx="25">
                  <c:v>10804</c:v>
                </c:pt>
                <c:pt idx="26">
                  <c:v>17298.5</c:v>
                </c:pt>
                <c:pt idx="27">
                  <c:v>17331</c:v>
                </c:pt>
                <c:pt idx="28">
                  <c:v>17349</c:v>
                </c:pt>
                <c:pt idx="29">
                  <c:v>17668</c:v>
                </c:pt>
                <c:pt idx="30">
                  <c:v>18559</c:v>
                </c:pt>
                <c:pt idx="31">
                  <c:v>20349</c:v>
                </c:pt>
                <c:pt idx="32">
                  <c:v>21550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28-4349-B5C8-630620CFEEB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30">
                    <c:v>1.2E-2</c:v>
                  </c:pt>
                  <c:pt idx="31">
                    <c:v>3.0000000000000001E-3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30">
                    <c:v>1.2E-2</c:v>
                  </c:pt>
                  <c:pt idx="31">
                    <c:v>3.0000000000000001E-3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22</c:v>
                </c:pt>
                <c:pt idx="3">
                  <c:v>873</c:v>
                </c:pt>
                <c:pt idx="4">
                  <c:v>882</c:v>
                </c:pt>
                <c:pt idx="5">
                  <c:v>1502</c:v>
                </c:pt>
                <c:pt idx="6">
                  <c:v>3022</c:v>
                </c:pt>
                <c:pt idx="7">
                  <c:v>3026</c:v>
                </c:pt>
                <c:pt idx="8">
                  <c:v>3314</c:v>
                </c:pt>
                <c:pt idx="9">
                  <c:v>4210</c:v>
                </c:pt>
                <c:pt idx="10">
                  <c:v>5636</c:v>
                </c:pt>
                <c:pt idx="11">
                  <c:v>5978</c:v>
                </c:pt>
                <c:pt idx="12">
                  <c:v>6549</c:v>
                </c:pt>
                <c:pt idx="13">
                  <c:v>6598</c:v>
                </c:pt>
                <c:pt idx="14">
                  <c:v>6886</c:v>
                </c:pt>
                <c:pt idx="15">
                  <c:v>9842</c:v>
                </c:pt>
                <c:pt idx="16">
                  <c:v>9882</c:v>
                </c:pt>
                <c:pt idx="17">
                  <c:v>9913</c:v>
                </c:pt>
                <c:pt idx="18">
                  <c:v>10170</c:v>
                </c:pt>
                <c:pt idx="19">
                  <c:v>10440</c:v>
                </c:pt>
                <c:pt idx="20">
                  <c:v>10462</c:v>
                </c:pt>
                <c:pt idx="21">
                  <c:v>10463</c:v>
                </c:pt>
                <c:pt idx="22">
                  <c:v>10485</c:v>
                </c:pt>
                <c:pt idx="23">
                  <c:v>10737</c:v>
                </c:pt>
                <c:pt idx="24">
                  <c:v>10777</c:v>
                </c:pt>
                <c:pt idx="25">
                  <c:v>10804</c:v>
                </c:pt>
                <c:pt idx="26">
                  <c:v>17298.5</c:v>
                </c:pt>
                <c:pt idx="27">
                  <c:v>17331</c:v>
                </c:pt>
                <c:pt idx="28">
                  <c:v>17349</c:v>
                </c:pt>
                <c:pt idx="29">
                  <c:v>17668</c:v>
                </c:pt>
                <c:pt idx="30">
                  <c:v>18559</c:v>
                </c:pt>
                <c:pt idx="31">
                  <c:v>20349</c:v>
                </c:pt>
                <c:pt idx="32">
                  <c:v>21550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28-4349-B5C8-630620CFEEB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30">
                    <c:v>1.2E-2</c:v>
                  </c:pt>
                  <c:pt idx="31">
                    <c:v>3.0000000000000001E-3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30">
                    <c:v>1.2E-2</c:v>
                  </c:pt>
                  <c:pt idx="31">
                    <c:v>3.0000000000000001E-3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22</c:v>
                </c:pt>
                <c:pt idx="3">
                  <c:v>873</c:v>
                </c:pt>
                <c:pt idx="4">
                  <c:v>882</c:v>
                </c:pt>
                <c:pt idx="5">
                  <c:v>1502</c:v>
                </c:pt>
                <c:pt idx="6">
                  <c:v>3022</c:v>
                </c:pt>
                <c:pt idx="7">
                  <c:v>3026</c:v>
                </c:pt>
                <c:pt idx="8">
                  <c:v>3314</c:v>
                </c:pt>
                <c:pt idx="9">
                  <c:v>4210</c:v>
                </c:pt>
                <c:pt idx="10">
                  <c:v>5636</c:v>
                </c:pt>
                <c:pt idx="11">
                  <c:v>5978</c:v>
                </c:pt>
                <c:pt idx="12">
                  <c:v>6549</c:v>
                </c:pt>
                <c:pt idx="13">
                  <c:v>6598</c:v>
                </c:pt>
                <c:pt idx="14">
                  <c:v>6886</c:v>
                </c:pt>
                <c:pt idx="15">
                  <c:v>9842</c:v>
                </c:pt>
                <c:pt idx="16">
                  <c:v>9882</c:v>
                </c:pt>
                <c:pt idx="17">
                  <c:v>9913</c:v>
                </c:pt>
                <c:pt idx="18">
                  <c:v>10170</c:v>
                </c:pt>
                <c:pt idx="19">
                  <c:v>10440</c:v>
                </c:pt>
                <c:pt idx="20">
                  <c:v>10462</c:v>
                </c:pt>
                <c:pt idx="21">
                  <c:v>10463</c:v>
                </c:pt>
                <c:pt idx="22">
                  <c:v>10485</c:v>
                </c:pt>
                <c:pt idx="23">
                  <c:v>10737</c:v>
                </c:pt>
                <c:pt idx="24">
                  <c:v>10777</c:v>
                </c:pt>
                <c:pt idx="25">
                  <c:v>10804</c:v>
                </c:pt>
                <c:pt idx="26">
                  <c:v>17298.5</c:v>
                </c:pt>
                <c:pt idx="27">
                  <c:v>17331</c:v>
                </c:pt>
                <c:pt idx="28">
                  <c:v>17349</c:v>
                </c:pt>
                <c:pt idx="29">
                  <c:v>17668</c:v>
                </c:pt>
                <c:pt idx="30">
                  <c:v>18559</c:v>
                </c:pt>
                <c:pt idx="31">
                  <c:v>20349</c:v>
                </c:pt>
                <c:pt idx="32">
                  <c:v>21550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28-4349-B5C8-630620CFEEB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22</c:v>
                </c:pt>
                <c:pt idx="3">
                  <c:v>873</c:v>
                </c:pt>
                <c:pt idx="4">
                  <c:v>882</c:v>
                </c:pt>
                <c:pt idx="5">
                  <c:v>1502</c:v>
                </c:pt>
                <c:pt idx="6">
                  <c:v>3022</c:v>
                </c:pt>
                <c:pt idx="7">
                  <c:v>3026</c:v>
                </c:pt>
                <c:pt idx="8">
                  <c:v>3314</c:v>
                </c:pt>
                <c:pt idx="9">
                  <c:v>4210</c:v>
                </c:pt>
                <c:pt idx="10">
                  <c:v>5636</c:v>
                </c:pt>
                <c:pt idx="11">
                  <c:v>5978</c:v>
                </c:pt>
                <c:pt idx="12">
                  <c:v>6549</c:v>
                </c:pt>
                <c:pt idx="13">
                  <c:v>6598</c:v>
                </c:pt>
                <c:pt idx="14">
                  <c:v>6886</c:v>
                </c:pt>
                <c:pt idx="15">
                  <c:v>9842</c:v>
                </c:pt>
                <c:pt idx="16">
                  <c:v>9882</c:v>
                </c:pt>
                <c:pt idx="17">
                  <c:v>9913</c:v>
                </c:pt>
                <c:pt idx="18">
                  <c:v>10170</c:v>
                </c:pt>
                <c:pt idx="19">
                  <c:v>10440</c:v>
                </c:pt>
                <c:pt idx="20">
                  <c:v>10462</c:v>
                </c:pt>
                <c:pt idx="21">
                  <c:v>10463</c:v>
                </c:pt>
                <c:pt idx="22">
                  <c:v>10485</c:v>
                </c:pt>
                <c:pt idx="23">
                  <c:v>10737</c:v>
                </c:pt>
                <c:pt idx="24">
                  <c:v>10777</c:v>
                </c:pt>
                <c:pt idx="25">
                  <c:v>10804</c:v>
                </c:pt>
                <c:pt idx="26">
                  <c:v>17298.5</c:v>
                </c:pt>
                <c:pt idx="27">
                  <c:v>17331</c:v>
                </c:pt>
                <c:pt idx="28">
                  <c:v>17349</c:v>
                </c:pt>
                <c:pt idx="29">
                  <c:v>17668</c:v>
                </c:pt>
                <c:pt idx="30">
                  <c:v>18559</c:v>
                </c:pt>
                <c:pt idx="31">
                  <c:v>20349</c:v>
                </c:pt>
                <c:pt idx="32">
                  <c:v>21550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3.6971875509587571E-3</c:v>
                </c:pt>
                <c:pt idx="1">
                  <c:v>3.6971875509587571E-3</c:v>
                </c:pt>
                <c:pt idx="2">
                  <c:v>3.6796827502443624E-3</c:v>
                </c:pt>
                <c:pt idx="3">
                  <c:v>3.0025652317011839E-3</c:v>
                </c:pt>
                <c:pt idx="4">
                  <c:v>2.9954041768634767E-3</c:v>
                </c:pt>
                <c:pt idx="5">
                  <c:v>2.502087065821443E-3</c:v>
                </c:pt>
                <c:pt idx="6">
                  <c:v>1.2926644710087149E-3</c:v>
                </c:pt>
                <c:pt idx="7">
                  <c:v>1.2894817799697341E-3</c:v>
                </c:pt>
                <c:pt idx="8">
                  <c:v>1.0603280251631118E-3</c:v>
                </c:pt>
                <c:pt idx="9">
                  <c:v>3.4740523243139863E-4</c:v>
                </c:pt>
                <c:pt idx="10">
                  <c:v>-7.8722412296527901E-4</c:v>
                </c:pt>
                <c:pt idx="11">
                  <c:v>-1.0593442067981431E-3</c:v>
                </c:pt>
                <c:pt idx="12">
                  <c:v>-1.5136733526126614E-3</c:v>
                </c:pt>
                <c:pt idx="13">
                  <c:v>-1.5526613178401764E-3</c:v>
                </c:pt>
                <c:pt idx="14">
                  <c:v>-1.7818150726467991E-3</c:v>
                </c:pt>
                <c:pt idx="15">
                  <c:v>-4.1338237504536576E-3</c:v>
                </c:pt>
                <c:pt idx="16">
                  <c:v>-4.1656506608434649E-3</c:v>
                </c:pt>
                <c:pt idx="17">
                  <c:v>-4.1903165163955664E-3</c:v>
                </c:pt>
                <c:pt idx="18">
                  <c:v>-4.3948044156500877E-3</c:v>
                </c:pt>
                <c:pt idx="19">
                  <c:v>-4.6096360607812952E-3</c:v>
                </c:pt>
                <c:pt idx="20">
                  <c:v>-4.6271408614956908E-3</c:v>
                </c:pt>
                <c:pt idx="21">
                  <c:v>-4.6279365342554359E-3</c:v>
                </c:pt>
                <c:pt idx="22">
                  <c:v>-4.6454413349698298E-3</c:v>
                </c:pt>
                <c:pt idx="23">
                  <c:v>-4.8459508704256256E-3</c:v>
                </c:pt>
                <c:pt idx="24">
                  <c:v>-4.877777780815433E-3</c:v>
                </c:pt>
                <c:pt idx="25">
                  <c:v>-4.8992609453285541E-3</c:v>
                </c:pt>
                <c:pt idx="26">
                  <c:v>-1.0066757683493858E-2</c:v>
                </c:pt>
                <c:pt idx="27">
                  <c:v>-1.0092617048185579E-2</c:v>
                </c:pt>
                <c:pt idx="28">
                  <c:v>-1.0106939157860992E-2</c:v>
                </c:pt>
                <c:pt idx="29">
                  <c:v>-1.0360758768219716E-2</c:v>
                </c:pt>
                <c:pt idx="30">
                  <c:v>-1.1069703197152702E-2</c:v>
                </c:pt>
                <c:pt idx="31">
                  <c:v>-1.2493957437096638E-2</c:v>
                </c:pt>
                <c:pt idx="32">
                  <c:v>-1.3449560421550643E-2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28-4349-B5C8-630620CFE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888856"/>
        <c:axId val="1"/>
      </c:scatterChart>
      <c:valAx>
        <c:axId val="581888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1888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36385327867073"/>
          <c:y val="0.91950464396284826"/>
          <c:w val="0.83884384286674907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0</xdr:row>
      <xdr:rowOff>0</xdr:rowOff>
    </xdr:from>
    <xdr:to>
      <xdr:col>18</xdr:col>
      <xdr:colOff>238124</xdr:colOff>
      <xdr:row>18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90A0D86-8912-F865-1B42-32C6D9FAE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53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35</v>
      </c>
    </row>
    <row r="2" spans="1:6">
      <c r="A2" t="s">
        <v>24</v>
      </c>
      <c r="B2" s="16" t="s">
        <v>36</v>
      </c>
    </row>
    <row r="3" spans="1:6" ht="13.5" thickBot="1">
      <c r="C3" s="11" t="s">
        <v>33</v>
      </c>
    </row>
    <row r="4" spans="1:6" ht="14.25" thickTop="1" thickBot="1">
      <c r="A4" s="8" t="s">
        <v>0</v>
      </c>
      <c r="C4" s="3">
        <v>25853.41</v>
      </c>
      <c r="D4" s="4">
        <v>1.222318</v>
      </c>
    </row>
    <row r="5" spans="1:6">
      <c r="A5" s="32" t="s">
        <v>161</v>
      </c>
      <c r="B5" s="18"/>
      <c r="C5" s="33">
        <v>-9.5</v>
      </c>
      <c r="D5" s="18" t="s">
        <v>162</v>
      </c>
    </row>
    <row r="6" spans="1:6">
      <c r="A6" s="8" t="s">
        <v>1</v>
      </c>
    </row>
    <row r="7" spans="1:6">
      <c r="A7" t="s">
        <v>2</v>
      </c>
      <c r="C7">
        <f>+C4</f>
        <v>25853.41</v>
      </c>
    </row>
    <row r="8" spans="1:6">
      <c r="A8" t="s">
        <v>3</v>
      </c>
      <c r="C8">
        <f>+D4</f>
        <v>1.222318</v>
      </c>
    </row>
    <row r="9" spans="1:6">
      <c r="A9" s="34" t="s">
        <v>163</v>
      </c>
      <c r="B9" s="35">
        <v>21</v>
      </c>
      <c r="C9" s="36" t="str">
        <f>"F"&amp;B9</f>
        <v>F21</v>
      </c>
      <c r="D9" s="36" t="str">
        <f>"G"&amp;B9</f>
        <v>G21</v>
      </c>
    </row>
    <row r="10" spans="1:6" ht="13.5" thickBot="1">
      <c r="C10" s="7" t="s">
        <v>19</v>
      </c>
      <c r="D10" s="7" t="s">
        <v>20</v>
      </c>
    </row>
    <row r="11" spans="1:6">
      <c r="A11" t="s">
        <v>16</v>
      </c>
      <c r="C11" s="15">
        <f ca="1">INTERCEPT(INDIRECT(D9):G1005,INDIRECT(C9):$F1005)</f>
        <v>3.6971875509587571E-3</v>
      </c>
      <c r="D11" s="6"/>
    </row>
    <row r="12" spans="1:6">
      <c r="A12" t="s">
        <v>17</v>
      </c>
      <c r="C12" s="15">
        <f ca="1">SLOPE(INDIRECT(D9):G1005,INDIRECT(C9):$F1005)</f>
        <v>-7.9567275974521581E-7</v>
      </c>
      <c r="D12" s="6"/>
    </row>
    <row r="13" spans="1:6">
      <c r="C13" s="6"/>
      <c r="D13" s="6"/>
    </row>
    <row r="14" spans="1:6">
      <c r="A14" t="s">
        <v>23</v>
      </c>
    </row>
    <row r="15" spans="1:6">
      <c r="A15" s="5" t="s">
        <v>18</v>
      </c>
      <c r="C15" s="13">
        <f ca="1">(C7+C11)+(C8+C12)*INT(MAX(F21:F3533))</f>
        <v>52194.349450439579</v>
      </c>
      <c r="E15" s="37" t="s">
        <v>164</v>
      </c>
      <c r="F15" s="38">
        <v>1</v>
      </c>
    </row>
    <row r="16" spans="1:6">
      <c r="A16" s="8" t="s">
        <v>4</v>
      </c>
      <c r="C16" s="14">
        <f ca="1">+C8+C12</f>
        <v>1.2223172043272403</v>
      </c>
      <c r="E16" s="37" t="s">
        <v>165</v>
      </c>
      <c r="F16" s="39">
        <f ca="1">NOW()+15018.5+$C$5/24</f>
        <v>60320.783133796293</v>
      </c>
    </row>
    <row r="17" spans="1:17" ht="13.5" thickBot="1">
      <c r="A17" s="15" t="s">
        <v>34</v>
      </c>
      <c r="C17">
        <f>COUNT(C21:C2191)</f>
        <v>33</v>
      </c>
      <c r="E17" s="37" t="s">
        <v>166</v>
      </c>
      <c r="F17" s="39">
        <f ca="1">ROUND(2*(F16-$C$7)/$C$8,0)/2+F15</f>
        <v>28199.5</v>
      </c>
    </row>
    <row r="18" spans="1:17">
      <c r="A18" s="8" t="s">
        <v>5</v>
      </c>
      <c r="C18" s="3">
        <f ca="1">+C15</f>
        <v>52194.349450439579</v>
      </c>
      <c r="D18" s="4">
        <f ca="1">+C16</f>
        <v>1.2223172043272403</v>
      </c>
      <c r="E18" s="37" t="s">
        <v>167</v>
      </c>
      <c r="F18" s="12">
        <f ca="1">ROUND(2*(F16-$C$15)/$C$16,0)/2+F15</f>
        <v>6649.5</v>
      </c>
    </row>
    <row r="19" spans="1:17" ht="13.5" thickTop="1">
      <c r="E19" s="37" t="s">
        <v>168</v>
      </c>
      <c r="F19" s="40">
        <f ca="1">+$C$15+$C$16*F18-15018.5-$C$5/24</f>
        <v>45304.043533946897</v>
      </c>
    </row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44</v>
      </c>
      <c r="I20" s="10" t="s">
        <v>47</v>
      </c>
      <c r="J20" s="10" t="s">
        <v>41</v>
      </c>
      <c r="K20" s="10" t="s">
        <v>39</v>
      </c>
      <c r="L20" s="10" t="s">
        <v>158</v>
      </c>
      <c r="M20" s="10" t="s">
        <v>159</v>
      </c>
      <c r="N20" s="10" t="s">
        <v>160</v>
      </c>
      <c r="O20" s="10" t="s">
        <v>22</v>
      </c>
      <c r="P20" s="9" t="s">
        <v>21</v>
      </c>
      <c r="Q20" s="7" t="s">
        <v>15</v>
      </c>
    </row>
    <row r="21" spans="1:17">
      <c r="A21" t="s">
        <v>12</v>
      </c>
      <c r="C21" s="19">
        <f>C4</f>
        <v>25853.41</v>
      </c>
      <c r="D21" s="19" t="s">
        <v>14</v>
      </c>
      <c r="E21">
        <f t="shared" ref="E21:E53" si="0">+(C21-C$7)/C$8</f>
        <v>0</v>
      </c>
      <c r="F21">
        <f t="shared" ref="F21:F53" si="1">ROUND(2*E21,0)/2</f>
        <v>0</v>
      </c>
      <c r="G21">
        <f t="shared" ref="G21:G46" si="2">+C21-(C$7+F21*C$8)</f>
        <v>0</v>
      </c>
      <c r="H21">
        <f>+G21</f>
        <v>0</v>
      </c>
      <c r="O21">
        <f t="shared" ref="O21:O53" ca="1" si="3">+C$11+C$12*F21</f>
        <v>3.6971875509587571E-3</v>
      </c>
      <c r="Q21" s="2">
        <f t="shared" ref="Q21:Q53" si="4">+C21-15018.5</f>
        <v>10834.91</v>
      </c>
    </row>
    <row r="22" spans="1:17">
      <c r="A22" s="12" t="s">
        <v>54</v>
      </c>
      <c r="B22" s="6" t="s">
        <v>156</v>
      </c>
      <c r="C22" s="31">
        <v>25853.384999999998</v>
      </c>
      <c r="D22" s="19" t="s">
        <v>47</v>
      </c>
      <c r="E22">
        <f t="shared" si="0"/>
        <v>-2.0452942688772638E-2</v>
      </c>
      <c r="F22">
        <f t="shared" si="1"/>
        <v>0</v>
      </c>
      <c r="G22">
        <f t="shared" si="2"/>
        <v>-2.5000000001455192E-2</v>
      </c>
      <c r="I22">
        <f t="shared" ref="I22:I46" si="5">+G22</f>
        <v>-2.5000000001455192E-2</v>
      </c>
      <c r="O22">
        <f t="shared" ca="1" si="3"/>
        <v>3.6971875509587571E-3</v>
      </c>
      <c r="Q22" s="2">
        <f t="shared" si="4"/>
        <v>10834.884999999998</v>
      </c>
    </row>
    <row r="23" spans="1:17">
      <c r="A23" s="12" t="s">
        <v>54</v>
      </c>
      <c r="B23" s="6" t="s">
        <v>156</v>
      </c>
      <c r="C23" s="19">
        <v>25880.308000000001</v>
      </c>
      <c r="D23" s="19" t="s">
        <v>47</v>
      </c>
      <c r="E23">
        <f t="shared" si="0"/>
        <v>22.005730096424209</v>
      </c>
      <c r="F23">
        <f t="shared" si="1"/>
        <v>22</v>
      </c>
      <c r="G23">
        <f t="shared" si="2"/>
        <v>7.0040000027802307E-3</v>
      </c>
      <c r="I23">
        <f t="shared" si="5"/>
        <v>7.0040000027802307E-3</v>
      </c>
      <c r="O23">
        <f t="shared" ca="1" si="3"/>
        <v>3.6796827502443624E-3</v>
      </c>
      <c r="Q23" s="2">
        <f t="shared" si="4"/>
        <v>10861.808000000001</v>
      </c>
    </row>
    <row r="24" spans="1:17">
      <c r="A24" s="12" t="s">
        <v>54</v>
      </c>
      <c r="B24" s="6" t="s">
        <v>156</v>
      </c>
      <c r="C24" s="19">
        <v>26920.455999999998</v>
      </c>
      <c r="D24" s="19" t="s">
        <v>47</v>
      </c>
      <c r="E24">
        <f t="shared" si="0"/>
        <v>872.96922732054873</v>
      </c>
      <c r="F24">
        <f t="shared" si="1"/>
        <v>873</v>
      </c>
      <c r="G24">
        <f t="shared" si="2"/>
        <v>-3.7614000000758097E-2</v>
      </c>
      <c r="I24">
        <f t="shared" si="5"/>
        <v>-3.7614000000758097E-2</v>
      </c>
      <c r="O24">
        <f t="shared" ca="1" si="3"/>
        <v>3.0025652317011839E-3</v>
      </c>
      <c r="Q24" s="2">
        <f t="shared" si="4"/>
        <v>11901.955999999998</v>
      </c>
    </row>
    <row r="25" spans="1:17">
      <c r="A25" s="12" t="s">
        <v>54</v>
      </c>
      <c r="B25" s="6" t="s">
        <v>156</v>
      </c>
      <c r="C25" s="19">
        <v>26931.47</v>
      </c>
      <c r="D25" s="19" t="s">
        <v>47</v>
      </c>
      <c r="E25">
        <f t="shared" si="0"/>
        <v>881.97997575099225</v>
      </c>
      <c r="F25">
        <f t="shared" si="1"/>
        <v>882</v>
      </c>
      <c r="G25">
        <f t="shared" si="2"/>
        <v>-2.4475999998685438E-2</v>
      </c>
      <c r="I25">
        <f t="shared" si="5"/>
        <v>-2.4475999998685438E-2</v>
      </c>
      <c r="O25">
        <f t="shared" ca="1" si="3"/>
        <v>2.9954041768634767E-3</v>
      </c>
      <c r="Q25" s="2">
        <f t="shared" si="4"/>
        <v>11912.970000000001</v>
      </c>
    </row>
    <row r="26" spans="1:17">
      <c r="A26" s="12" t="s">
        <v>54</v>
      </c>
      <c r="B26" s="6" t="s">
        <v>156</v>
      </c>
      <c r="C26" s="19">
        <v>27689.371999999999</v>
      </c>
      <c r="D26" s="19" t="s">
        <v>47</v>
      </c>
      <c r="E26">
        <f t="shared" si="0"/>
        <v>1502.0330225031453</v>
      </c>
      <c r="F26">
        <f t="shared" si="1"/>
        <v>1502</v>
      </c>
      <c r="G26">
        <f t="shared" si="2"/>
        <v>4.0364000000408851E-2</v>
      </c>
      <c r="I26">
        <f t="shared" si="5"/>
        <v>4.0364000000408851E-2</v>
      </c>
      <c r="O26">
        <f t="shared" ca="1" si="3"/>
        <v>2.502087065821443E-3</v>
      </c>
      <c r="Q26" s="2">
        <f t="shared" si="4"/>
        <v>12670.871999999999</v>
      </c>
    </row>
    <row r="27" spans="1:17">
      <c r="A27" s="12" t="s">
        <v>70</v>
      </c>
      <c r="B27" s="6" t="s">
        <v>156</v>
      </c>
      <c r="C27" s="19">
        <v>29547.3</v>
      </c>
      <c r="D27" s="19" t="s">
        <v>47</v>
      </c>
      <c r="E27">
        <f t="shared" si="0"/>
        <v>3022.0368185693078</v>
      </c>
      <c r="F27">
        <f t="shared" si="1"/>
        <v>3022</v>
      </c>
      <c r="G27">
        <f t="shared" si="2"/>
        <v>4.5003999999607913E-2</v>
      </c>
      <c r="I27">
        <f t="shared" si="5"/>
        <v>4.5003999999607913E-2</v>
      </c>
      <c r="O27">
        <f t="shared" ca="1" si="3"/>
        <v>1.2926644710087149E-3</v>
      </c>
      <c r="Q27" s="2">
        <f t="shared" si="4"/>
        <v>14528.8</v>
      </c>
    </row>
    <row r="28" spans="1:17">
      <c r="A28" s="12" t="s">
        <v>70</v>
      </c>
      <c r="B28" s="6" t="s">
        <v>156</v>
      </c>
      <c r="C28" s="19">
        <v>29552.16</v>
      </c>
      <c r="D28" s="19" t="s">
        <v>47</v>
      </c>
      <c r="E28">
        <f t="shared" si="0"/>
        <v>3026.0128706277742</v>
      </c>
      <c r="F28">
        <f t="shared" si="1"/>
        <v>3026</v>
      </c>
      <c r="G28">
        <f t="shared" si="2"/>
        <v>1.5731999999843538E-2</v>
      </c>
      <c r="I28">
        <f t="shared" si="5"/>
        <v>1.5731999999843538E-2</v>
      </c>
      <c r="O28">
        <f t="shared" ca="1" si="3"/>
        <v>1.2894817799697341E-3</v>
      </c>
      <c r="Q28" s="2">
        <f t="shared" si="4"/>
        <v>14533.66</v>
      </c>
    </row>
    <row r="29" spans="1:17">
      <c r="A29" s="12" t="s">
        <v>70</v>
      </c>
      <c r="B29" s="6" t="s">
        <v>156</v>
      </c>
      <c r="C29" s="19">
        <v>29904.2</v>
      </c>
      <c r="D29" s="19" t="s">
        <v>47</v>
      </c>
      <c r="E29">
        <f t="shared" si="0"/>
        <v>3314.0230283772316</v>
      </c>
      <c r="F29">
        <f t="shared" si="1"/>
        <v>3314</v>
      </c>
      <c r="G29">
        <f t="shared" si="2"/>
        <v>2.8148000001237961E-2</v>
      </c>
      <c r="I29">
        <f t="shared" si="5"/>
        <v>2.8148000001237961E-2</v>
      </c>
      <c r="O29">
        <f t="shared" ca="1" si="3"/>
        <v>1.0603280251631118E-3</v>
      </c>
      <c r="Q29" s="2">
        <f t="shared" si="4"/>
        <v>14885.7</v>
      </c>
    </row>
    <row r="30" spans="1:17">
      <c r="A30" s="12" t="s">
        <v>54</v>
      </c>
      <c r="B30" s="6" t="s">
        <v>156</v>
      </c>
      <c r="C30" s="19">
        <v>30999.366999999998</v>
      </c>
      <c r="D30" s="19" t="s">
        <v>47</v>
      </c>
      <c r="E30">
        <f t="shared" si="0"/>
        <v>4209.9985437504793</v>
      </c>
      <c r="F30">
        <f t="shared" si="1"/>
        <v>4210</v>
      </c>
      <c r="G30">
        <f t="shared" si="2"/>
        <v>-1.7800000023271423E-3</v>
      </c>
      <c r="I30">
        <f t="shared" si="5"/>
        <v>-1.7800000023271423E-3</v>
      </c>
      <c r="O30">
        <f t="shared" ca="1" si="3"/>
        <v>3.4740523243139863E-4</v>
      </c>
      <c r="Q30" s="2">
        <f t="shared" si="4"/>
        <v>15980.866999999998</v>
      </c>
    </row>
    <row r="31" spans="1:17">
      <c r="A31" s="12" t="s">
        <v>70</v>
      </c>
      <c r="B31" s="6" t="s">
        <v>156</v>
      </c>
      <c r="C31" s="19">
        <v>32742.37</v>
      </c>
      <c r="D31" s="19" t="s">
        <v>47</v>
      </c>
      <c r="E31">
        <f t="shared" si="0"/>
        <v>5635.9801622818277</v>
      </c>
      <c r="F31">
        <f t="shared" si="1"/>
        <v>5636</v>
      </c>
      <c r="G31">
        <f t="shared" si="2"/>
        <v>-2.424800000153482E-2</v>
      </c>
      <c r="I31">
        <f t="shared" si="5"/>
        <v>-2.424800000153482E-2</v>
      </c>
      <c r="O31">
        <f t="shared" ca="1" si="3"/>
        <v>-7.8722412296527901E-4</v>
      </c>
      <c r="Q31" s="2">
        <f t="shared" si="4"/>
        <v>17723.87</v>
      </c>
    </row>
    <row r="32" spans="1:17">
      <c r="A32" s="12" t="s">
        <v>54</v>
      </c>
      <c r="B32" s="6" t="s">
        <v>156</v>
      </c>
      <c r="C32" s="19">
        <v>33160.46</v>
      </c>
      <c r="D32" s="19" t="s">
        <v>47</v>
      </c>
      <c r="E32">
        <f t="shared" si="0"/>
        <v>5978.026994611876</v>
      </c>
      <c r="F32">
        <f t="shared" si="1"/>
        <v>5978</v>
      </c>
      <c r="G32">
        <f t="shared" si="2"/>
        <v>3.2996000001730863E-2</v>
      </c>
      <c r="I32">
        <f t="shared" si="5"/>
        <v>3.2996000001730863E-2</v>
      </c>
      <c r="O32">
        <f t="shared" ca="1" si="3"/>
        <v>-1.0593442067981431E-3</v>
      </c>
      <c r="Q32" s="2">
        <f t="shared" si="4"/>
        <v>18141.96</v>
      </c>
    </row>
    <row r="33" spans="1:31">
      <c r="A33" s="12" t="s">
        <v>70</v>
      </c>
      <c r="B33" s="6" t="s">
        <v>156</v>
      </c>
      <c r="C33" s="19">
        <v>33858.370000000003</v>
      </c>
      <c r="D33" s="19" t="s">
        <v>47</v>
      </c>
      <c r="E33">
        <f t="shared" si="0"/>
        <v>6548.9995238554966</v>
      </c>
      <c r="F33">
        <f t="shared" si="1"/>
        <v>6549</v>
      </c>
      <c r="G33">
        <f t="shared" si="2"/>
        <v>-5.8200000057695433E-4</v>
      </c>
      <c r="I33">
        <f t="shared" si="5"/>
        <v>-5.8200000057695433E-4</v>
      </c>
      <c r="O33">
        <f t="shared" ca="1" si="3"/>
        <v>-1.5136733526126614E-3</v>
      </c>
      <c r="Q33" s="2">
        <f t="shared" si="4"/>
        <v>18839.870000000003</v>
      </c>
    </row>
    <row r="34" spans="1:31">
      <c r="A34" s="12" t="s">
        <v>70</v>
      </c>
      <c r="B34" s="6" t="s">
        <v>156</v>
      </c>
      <c r="C34" s="19">
        <v>33918.160000000003</v>
      </c>
      <c r="D34" s="19" t="s">
        <v>47</v>
      </c>
      <c r="E34">
        <f t="shared" si="0"/>
        <v>6597.9147815871183</v>
      </c>
      <c r="F34">
        <f t="shared" si="1"/>
        <v>6598</v>
      </c>
      <c r="G34">
        <f t="shared" si="2"/>
        <v>-0.10416399999667192</v>
      </c>
      <c r="I34">
        <f t="shared" si="5"/>
        <v>-0.10416399999667192</v>
      </c>
      <c r="O34">
        <f t="shared" ca="1" si="3"/>
        <v>-1.5526613178401764E-3</v>
      </c>
      <c r="Q34" s="2">
        <f t="shared" si="4"/>
        <v>18899.660000000003</v>
      </c>
    </row>
    <row r="35" spans="1:31">
      <c r="A35" s="12" t="s">
        <v>70</v>
      </c>
      <c r="B35" s="6" t="s">
        <v>156</v>
      </c>
      <c r="C35" s="19">
        <v>34270.273999999998</v>
      </c>
      <c r="D35" s="19" t="s">
        <v>47</v>
      </c>
      <c r="E35">
        <f t="shared" si="0"/>
        <v>6885.9854800469257</v>
      </c>
      <c r="F35">
        <f t="shared" si="1"/>
        <v>6886</v>
      </c>
      <c r="G35">
        <f t="shared" si="2"/>
        <v>-1.7748000005667564E-2</v>
      </c>
      <c r="I35">
        <f t="shared" si="5"/>
        <v>-1.7748000005667564E-2</v>
      </c>
      <c r="O35">
        <f t="shared" ca="1" si="3"/>
        <v>-1.7818150726467991E-3</v>
      </c>
      <c r="Q35" s="2">
        <f t="shared" si="4"/>
        <v>19251.773999999998</v>
      </c>
    </row>
    <row r="36" spans="1:31">
      <c r="A36" s="12" t="s">
        <v>54</v>
      </c>
      <c r="B36" s="6" t="s">
        <v>156</v>
      </c>
      <c r="C36" s="19">
        <v>37883.468000000001</v>
      </c>
      <c r="D36" s="19" t="s">
        <v>47</v>
      </c>
      <c r="E36">
        <f t="shared" si="0"/>
        <v>9842.0034720915519</v>
      </c>
      <c r="F36">
        <f t="shared" si="1"/>
        <v>9842</v>
      </c>
      <c r="G36">
        <f t="shared" si="2"/>
        <v>4.2440000033820979E-3</v>
      </c>
      <c r="I36">
        <f t="shared" si="5"/>
        <v>4.2440000033820979E-3</v>
      </c>
      <c r="O36">
        <f t="shared" ca="1" si="3"/>
        <v>-4.1338237504536576E-3</v>
      </c>
      <c r="Q36" s="2">
        <f t="shared" si="4"/>
        <v>22864.968000000001</v>
      </c>
    </row>
    <row r="37" spans="1:31">
      <c r="A37" s="12" t="s">
        <v>54</v>
      </c>
      <c r="B37" s="6" t="s">
        <v>156</v>
      </c>
      <c r="C37" s="19">
        <v>37932.379000000001</v>
      </c>
      <c r="D37" s="19" t="s">
        <v>47</v>
      </c>
      <c r="E37">
        <f t="shared" si="0"/>
        <v>9882.0184272832448</v>
      </c>
      <c r="F37">
        <f t="shared" si="1"/>
        <v>9882</v>
      </c>
      <c r="G37">
        <f t="shared" si="2"/>
        <v>2.2523999999975786E-2</v>
      </c>
      <c r="I37">
        <f t="shared" si="5"/>
        <v>2.2523999999975786E-2</v>
      </c>
      <c r="O37">
        <f t="shared" ca="1" si="3"/>
        <v>-4.1656506608434649E-3</v>
      </c>
      <c r="Q37" s="2">
        <f t="shared" si="4"/>
        <v>22913.879000000001</v>
      </c>
    </row>
    <row r="38" spans="1:31">
      <c r="A38" s="12" t="s">
        <v>54</v>
      </c>
      <c r="B38" s="6" t="s">
        <v>156</v>
      </c>
      <c r="C38" s="19">
        <v>37970.249000000003</v>
      </c>
      <c r="D38" s="19" t="s">
        <v>47</v>
      </c>
      <c r="E38">
        <f t="shared" si="0"/>
        <v>9913.000544866396</v>
      </c>
      <c r="F38">
        <f t="shared" si="1"/>
        <v>9913</v>
      </c>
      <c r="G38">
        <f t="shared" si="2"/>
        <v>6.6599999991012737E-4</v>
      </c>
      <c r="I38">
        <f t="shared" si="5"/>
        <v>6.6599999991012737E-4</v>
      </c>
      <c r="O38">
        <f t="shared" ca="1" si="3"/>
        <v>-4.1903165163955664E-3</v>
      </c>
      <c r="Q38" s="2">
        <f t="shared" si="4"/>
        <v>22951.749000000003</v>
      </c>
    </row>
    <row r="39" spans="1:31">
      <c r="A39" s="12" t="s">
        <v>54</v>
      </c>
      <c r="B39" s="6" t="s">
        <v>156</v>
      </c>
      <c r="C39" s="19">
        <v>38284.421999999999</v>
      </c>
      <c r="D39" s="19" t="s">
        <v>47</v>
      </c>
      <c r="E39">
        <f t="shared" si="0"/>
        <v>10170.031039385822</v>
      </c>
      <c r="F39">
        <f t="shared" si="1"/>
        <v>10170</v>
      </c>
      <c r="G39">
        <f t="shared" si="2"/>
        <v>3.7940000001981389E-2</v>
      </c>
      <c r="I39">
        <f t="shared" si="5"/>
        <v>3.7940000001981389E-2</v>
      </c>
      <c r="O39">
        <f t="shared" ca="1" si="3"/>
        <v>-4.3948044156500877E-3</v>
      </c>
      <c r="Q39" s="2">
        <f t="shared" si="4"/>
        <v>23265.921999999999</v>
      </c>
    </row>
    <row r="40" spans="1:31">
      <c r="A40" s="12" t="s">
        <v>54</v>
      </c>
      <c r="B40" s="6" t="s">
        <v>156</v>
      </c>
      <c r="C40" s="19">
        <v>38614.410000000003</v>
      </c>
      <c r="D40" s="19" t="s">
        <v>47</v>
      </c>
      <c r="E40">
        <f t="shared" si="0"/>
        <v>10440.00006544942</v>
      </c>
      <c r="F40">
        <f t="shared" si="1"/>
        <v>10440</v>
      </c>
      <c r="G40">
        <f t="shared" si="2"/>
        <v>8.0000005254987627E-5</v>
      </c>
      <c r="I40">
        <f t="shared" si="5"/>
        <v>8.0000005254987627E-5</v>
      </c>
      <c r="O40">
        <f t="shared" ca="1" si="3"/>
        <v>-4.6096360607812952E-3</v>
      </c>
      <c r="Q40" s="2">
        <f t="shared" si="4"/>
        <v>23595.910000000003</v>
      </c>
    </row>
    <row r="41" spans="1:31">
      <c r="A41" s="12" t="s">
        <v>54</v>
      </c>
      <c r="B41" s="6" t="s">
        <v>156</v>
      </c>
      <c r="C41" s="19">
        <v>38641.300000000003</v>
      </c>
      <c r="D41" s="19" t="s">
        <v>47</v>
      </c>
      <c r="E41">
        <f t="shared" si="0"/>
        <v>10461.999250604182</v>
      </c>
      <c r="F41">
        <f t="shared" si="1"/>
        <v>10462</v>
      </c>
      <c r="G41">
        <f t="shared" si="2"/>
        <v>-9.1599999723257497E-4</v>
      </c>
      <c r="I41">
        <f t="shared" si="5"/>
        <v>-9.1599999723257497E-4</v>
      </c>
      <c r="O41">
        <f t="shared" ca="1" si="3"/>
        <v>-4.6271408614956908E-3</v>
      </c>
      <c r="Q41" s="2">
        <f t="shared" si="4"/>
        <v>23622.800000000003</v>
      </c>
    </row>
    <row r="42" spans="1:31">
      <c r="A42" s="12" t="s">
        <v>54</v>
      </c>
      <c r="B42" s="6" t="s">
        <v>156</v>
      </c>
      <c r="C42" s="19">
        <v>38642.53</v>
      </c>
      <c r="D42" s="19" t="s">
        <v>47</v>
      </c>
      <c r="E42">
        <f t="shared" si="0"/>
        <v>10463.005535384407</v>
      </c>
      <c r="F42">
        <f t="shared" si="1"/>
        <v>10463</v>
      </c>
      <c r="G42">
        <f t="shared" si="2"/>
        <v>6.7659999986062758E-3</v>
      </c>
      <c r="I42">
        <f t="shared" si="5"/>
        <v>6.7659999986062758E-3</v>
      </c>
      <c r="O42">
        <f t="shared" ca="1" si="3"/>
        <v>-4.6279365342554359E-3</v>
      </c>
      <c r="Q42" s="2">
        <f t="shared" si="4"/>
        <v>23624.03</v>
      </c>
    </row>
    <row r="43" spans="1:31">
      <c r="A43" s="12" t="s">
        <v>54</v>
      </c>
      <c r="B43" s="6" t="s">
        <v>156</v>
      </c>
      <c r="C43" s="19">
        <v>38669.383999999998</v>
      </c>
      <c r="D43" s="19" t="s">
        <v>47</v>
      </c>
      <c r="E43">
        <f t="shared" si="0"/>
        <v>10484.975268301701</v>
      </c>
      <c r="F43">
        <f t="shared" si="1"/>
        <v>10485</v>
      </c>
      <c r="G43">
        <f t="shared" si="2"/>
        <v>-3.0230000003939494E-2</v>
      </c>
      <c r="I43">
        <f t="shared" si="5"/>
        <v>-3.0230000003939494E-2</v>
      </c>
      <c r="O43">
        <f t="shared" ca="1" si="3"/>
        <v>-4.6454413349698298E-3</v>
      </c>
      <c r="Q43" s="2">
        <f t="shared" si="4"/>
        <v>23650.883999999998</v>
      </c>
    </row>
    <row r="44" spans="1:31">
      <c r="A44" s="12" t="s">
        <v>54</v>
      </c>
      <c r="B44" s="6" t="s">
        <v>156</v>
      </c>
      <c r="C44" s="19">
        <v>38977.474999999999</v>
      </c>
      <c r="D44" s="19" t="s">
        <v>47</v>
      </c>
      <c r="E44">
        <f t="shared" si="0"/>
        <v>10737.029970924095</v>
      </c>
      <c r="F44">
        <f t="shared" si="1"/>
        <v>10737</v>
      </c>
      <c r="G44">
        <f t="shared" si="2"/>
        <v>3.6633999996411148E-2</v>
      </c>
      <c r="I44">
        <f t="shared" si="5"/>
        <v>3.6633999996411148E-2</v>
      </c>
      <c r="O44">
        <f t="shared" ca="1" si="3"/>
        <v>-4.8459508704256256E-3</v>
      </c>
      <c r="Q44" s="2">
        <f t="shared" si="4"/>
        <v>23958.974999999999</v>
      </c>
    </row>
    <row r="45" spans="1:31">
      <c r="A45" s="12" t="s">
        <v>54</v>
      </c>
      <c r="B45" s="6" t="s">
        <v>156</v>
      </c>
      <c r="C45" s="19">
        <v>39026.356</v>
      </c>
      <c r="D45" s="19" t="s">
        <v>47</v>
      </c>
      <c r="E45">
        <f t="shared" si="0"/>
        <v>10777.020382584564</v>
      </c>
      <c r="F45">
        <f t="shared" si="1"/>
        <v>10777</v>
      </c>
      <c r="G45">
        <f t="shared" si="2"/>
        <v>2.4914000001444947E-2</v>
      </c>
      <c r="I45">
        <f t="shared" si="5"/>
        <v>2.4914000001444947E-2</v>
      </c>
      <c r="O45">
        <f t="shared" ca="1" si="3"/>
        <v>-4.877777780815433E-3</v>
      </c>
      <c r="Q45" s="2">
        <f t="shared" si="4"/>
        <v>24007.856</v>
      </c>
    </row>
    <row r="46" spans="1:31">
      <c r="A46" s="12" t="s">
        <v>54</v>
      </c>
      <c r="B46" s="6" t="s">
        <v>156</v>
      </c>
      <c r="C46" s="19">
        <v>39059.317999999999</v>
      </c>
      <c r="D46" s="19" t="s">
        <v>47</v>
      </c>
      <c r="E46">
        <f t="shared" si="0"/>
        <v>10803.987178459287</v>
      </c>
      <c r="F46">
        <f t="shared" si="1"/>
        <v>10804</v>
      </c>
      <c r="G46">
        <f t="shared" si="2"/>
        <v>-1.5672000001359265E-2</v>
      </c>
      <c r="I46">
        <f t="shared" si="5"/>
        <v>-1.5672000001359265E-2</v>
      </c>
      <c r="O46">
        <f t="shared" ca="1" si="3"/>
        <v>-4.8992609453285541E-3</v>
      </c>
      <c r="Q46" s="2">
        <f t="shared" si="4"/>
        <v>24040.817999999999</v>
      </c>
    </row>
    <row r="47" spans="1:31">
      <c r="A47" t="s">
        <v>26</v>
      </c>
      <c r="C47" s="31">
        <v>46997.536</v>
      </c>
      <c r="D47" s="19"/>
      <c r="E47">
        <f t="shared" si="0"/>
        <v>17298.383890280598</v>
      </c>
      <c r="F47">
        <f t="shared" si="1"/>
        <v>17298.5</v>
      </c>
      <c r="I47" s="12">
        <v>-0.141922999995586</v>
      </c>
      <c r="O47">
        <f t="shared" ca="1" si="3"/>
        <v>-1.0066757683493858E-2</v>
      </c>
      <c r="Q47" s="2">
        <f t="shared" si="4"/>
        <v>31979.036</v>
      </c>
      <c r="AA47">
        <v>7</v>
      </c>
      <c r="AC47" t="s">
        <v>25</v>
      </c>
      <c r="AE47" t="s">
        <v>27</v>
      </c>
    </row>
    <row r="48" spans="1:31">
      <c r="A48" t="s">
        <v>29</v>
      </c>
      <c r="C48" s="31">
        <v>47037.385000000002</v>
      </c>
      <c r="D48" s="19"/>
      <c r="E48">
        <f t="shared" si="0"/>
        <v>17330.985062806896</v>
      </c>
      <c r="F48">
        <f t="shared" si="1"/>
        <v>17331</v>
      </c>
      <c r="G48">
        <f t="shared" ref="G48:G53" si="6">+C48-(C$7+F48*C$8)</f>
        <v>-1.8257999996421859E-2</v>
      </c>
      <c r="I48">
        <f t="shared" ref="I48:I53" si="7">+G48</f>
        <v>-1.8257999996421859E-2</v>
      </c>
      <c r="O48">
        <f t="shared" ca="1" si="3"/>
        <v>-1.0092617048185579E-2</v>
      </c>
      <c r="Q48" s="2">
        <f t="shared" si="4"/>
        <v>32018.885000000002</v>
      </c>
      <c r="AA48">
        <v>20</v>
      </c>
      <c r="AC48" t="s">
        <v>28</v>
      </c>
      <c r="AE48" t="s">
        <v>27</v>
      </c>
    </row>
    <row r="49" spans="1:31">
      <c r="A49" t="s">
        <v>29</v>
      </c>
      <c r="C49" s="31">
        <v>47059.38</v>
      </c>
      <c r="D49" s="19"/>
      <c r="E49">
        <f t="shared" si="0"/>
        <v>17348.979561783428</v>
      </c>
      <c r="F49">
        <f t="shared" si="1"/>
        <v>17349</v>
      </c>
      <c r="G49">
        <f t="shared" si="6"/>
        <v>-2.4982000002637506E-2</v>
      </c>
      <c r="I49">
        <f t="shared" si="7"/>
        <v>-2.4982000002637506E-2</v>
      </c>
      <c r="O49">
        <f t="shared" ca="1" si="3"/>
        <v>-1.0106939157860992E-2</v>
      </c>
      <c r="Q49" s="2">
        <f t="shared" si="4"/>
        <v>32040.879999999997</v>
      </c>
      <c r="AA49">
        <v>13</v>
      </c>
      <c r="AC49" t="s">
        <v>28</v>
      </c>
      <c r="AE49" t="s">
        <v>27</v>
      </c>
    </row>
    <row r="50" spans="1:31">
      <c r="A50" t="s">
        <v>30</v>
      </c>
      <c r="C50" s="31">
        <v>47449.292999999998</v>
      </c>
      <c r="D50" s="19"/>
      <c r="E50">
        <f t="shared" si="0"/>
        <v>17667.974291469156</v>
      </c>
      <c r="F50">
        <f t="shared" si="1"/>
        <v>17668</v>
      </c>
      <c r="G50">
        <f t="shared" si="6"/>
        <v>-3.1424000000697561E-2</v>
      </c>
      <c r="I50">
        <f t="shared" si="7"/>
        <v>-3.1424000000697561E-2</v>
      </c>
      <c r="O50">
        <f t="shared" ca="1" si="3"/>
        <v>-1.0360758768219716E-2</v>
      </c>
      <c r="Q50" s="2">
        <f t="shared" si="4"/>
        <v>32430.792999999998</v>
      </c>
      <c r="AA50">
        <v>14</v>
      </c>
      <c r="AC50" t="s">
        <v>28</v>
      </c>
      <c r="AE50" t="s">
        <v>27</v>
      </c>
    </row>
    <row r="51" spans="1:31">
      <c r="A51" t="s">
        <v>31</v>
      </c>
      <c r="C51" s="31">
        <v>48538.394999999997</v>
      </c>
      <c r="D51" s="19">
        <v>1.2E-2</v>
      </c>
      <c r="E51">
        <f t="shared" si="0"/>
        <v>18558.987922946399</v>
      </c>
      <c r="F51">
        <f t="shared" si="1"/>
        <v>18559</v>
      </c>
      <c r="G51">
        <f t="shared" si="6"/>
        <v>-1.4761999998881947E-2</v>
      </c>
      <c r="I51">
        <f t="shared" si="7"/>
        <v>-1.4761999998881947E-2</v>
      </c>
      <c r="O51">
        <f t="shared" ca="1" si="3"/>
        <v>-1.1069703197152702E-2</v>
      </c>
      <c r="Q51" s="2">
        <f t="shared" si="4"/>
        <v>33519.894999999997</v>
      </c>
      <c r="AA51">
        <v>40</v>
      </c>
      <c r="AC51" t="s">
        <v>28</v>
      </c>
      <c r="AE51" t="s">
        <v>27</v>
      </c>
    </row>
    <row r="52" spans="1:31">
      <c r="A52" t="s">
        <v>32</v>
      </c>
      <c r="B52" s="6"/>
      <c r="C52" s="31">
        <v>50726.338000000003</v>
      </c>
      <c r="D52" s="19">
        <v>3.0000000000000001E-3</v>
      </c>
      <c r="E52">
        <f t="shared" si="0"/>
        <v>20348.982834254264</v>
      </c>
      <c r="F52">
        <f t="shared" si="1"/>
        <v>20349</v>
      </c>
      <c r="G52">
        <f t="shared" si="6"/>
        <v>-2.0982000001822598E-2</v>
      </c>
      <c r="I52">
        <f t="shared" si="7"/>
        <v>-2.0982000001822598E-2</v>
      </c>
      <c r="O52">
        <f t="shared" ca="1" si="3"/>
        <v>-1.2493957437096638E-2</v>
      </c>
      <c r="Q52" s="2">
        <f t="shared" si="4"/>
        <v>35707.838000000003</v>
      </c>
      <c r="AA52">
        <v>29</v>
      </c>
      <c r="AC52" t="s">
        <v>28</v>
      </c>
      <c r="AE52" t="s">
        <v>27</v>
      </c>
    </row>
    <row r="53" spans="1:31">
      <c r="A53" s="12" t="s">
        <v>155</v>
      </c>
      <c r="B53" s="6" t="s">
        <v>157</v>
      </c>
      <c r="C53" s="19">
        <v>52194.351999999999</v>
      </c>
      <c r="D53" s="19" t="s">
        <v>47</v>
      </c>
      <c r="E53">
        <f t="shared" si="0"/>
        <v>21549.991082516986</v>
      </c>
      <c r="F53">
        <f t="shared" si="1"/>
        <v>21550</v>
      </c>
      <c r="G53">
        <f t="shared" si="6"/>
        <v>-1.0900000001129229E-2</v>
      </c>
      <c r="I53">
        <f t="shared" si="7"/>
        <v>-1.0900000001129229E-2</v>
      </c>
      <c r="O53">
        <f t="shared" ca="1" si="3"/>
        <v>-1.3449560421550643E-2</v>
      </c>
      <c r="Q53" s="2">
        <f t="shared" si="4"/>
        <v>37175.851999999999</v>
      </c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794"/>
  <sheetViews>
    <sheetView workbookViewId="0">
      <selection activeCell="A17" sqref="A17:D42"/>
    </sheetView>
  </sheetViews>
  <sheetFormatPr defaultRowHeight="12.75"/>
  <cols>
    <col min="1" max="1" width="19.7109375" style="19" customWidth="1"/>
    <col min="2" max="2" width="4.42578125" style="18" customWidth="1"/>
    <col min="3" max="3" width="12.7109375" style="19" customWidth="1"/>
    <col min="4" max="4" width="5.42578125" style="18" customWidth="1"/>
    <col min="5" max="5" width="14.85546875" style="18" customWidth="1"/>
    <col min="6" max="6" width="9.140625" style="18"/>
    <col min="7" max="7" width="12" style="18" customWidth="1"/>
    <col min="8" max="8" width="14.140625" style="19" customWidth="1"/>
    <col min="9" max="9" width="22.5703125" style="18" customWidth="1"/>
    <col min="10" max="10" width="25.140625" style="18" customWidth="1"/>
    <col min="11" max="11" width="15.7109375" style="18" customWidth="1"/>
    <col min="12" max="12" width="14.140625" style="18" customWidth="1"/>
    <col min="13" max="13" width="9.5703125" style="18" customWidth="1"/>
    <col min="14" max="14" width="14.140625" style="18" customWidth="1"/>
    <col min="15" max="15" width="23.42578125" style="18" customWidth="1"/>
    <col min="16" max="16" width="16.5703125" style="18" customWidth="1"/>
    <col min="17" max="17" width="41" style="18" customWidth="1"/>
    <col min="18" max="16384" width="9.140625" style="18"/>
  </cols>
  <sheetData>
    <row r="1" spans="1:16" ht="15.75">
      <c r="A1" s="17" t="s">
        <v>37</v>
      </c>
      <c r="I1" s="20" t="s">
        <v>38</v>
      </c>
      <c r="J1" s="21" t="s">
        <v>39</v>
      </c>
    </row>
    <row r="2" spans="1:16">
      <c r="I2" s="22" t="s">
        <v>40</v>
      </c>
      <c r="J2" s="23" t="s">
        <v>41</v>
      </c>
    </row>
    <row r="3" spans="1:16">
      <c r="A3" s="24" t="s">
        <v>42</v>
      </c>
      <c r="I3" s="22" t="s">
        <v>43</v>
      </c>
      <c r="J3" s="23" t="s">
        <v>44</v>
      </c>
    </row>
    <row r="4" spans="1:16">
      <c r="I4" s="22" t="s">
        <v>45</v>
      </c>
      <c r="J4" s="23" t="s">
        <v>44</v>
      </c>
    </row>
    <row r="5" spans="1:16" ht="13.5" thickBot="1">
      <c r="I5" s="25" t="s">
        <v>46</v>
      </c>
      <c r="J5" s="26" t="s">
        <v>47</v>
      </c>
    </row>
    <row r="10" spans="1:16" ht="13.5" thickBot="1"/>
    <row r="11" spans="1:16" ht="12.75" customHeight="1" thickBot="1">
      <c r="A11" s="19" t="str">
        <f t="shared" ref="A11:A42" si="0">P11</f>
        <v> BBS 84 </v>
      </c>
      <c r="B11" s="6" t="str">
        <f t="shared" ref="B11:B42" si="1">IF(H11=INT(H11),"I","II")</f>
        <v>II</v>
      </c>
      <c r="C11" s="19">
        <f t="shared" ref="C11:C42" si="2">1*G11</f>
        <v>46997.536</v>
      </c>
      <c r="D11" s="18" t="str">
        <f t="shared" ref="D11:D42" si="3">VLOOKUP(F11,I$1:J$5,2,FALSE)</f>
        <v>vis</v>
      </c>
      <c r="E11" s="27">
        <f>VLOOKUP(C11,Active!C$21:E$973,3,FALSE)</f>
        <v>17298.383890280598</v>
      </c>
      <c r="F11" s="6" t="s">
        <v>46</v>
      </c>
      <c r="G11" s="18" t="str">
        <f t="shared" ref="G11:G42" si="4">MID(I11,3,LEN(I11)-3)</f>
        <v>46997.536</v>
      </c>
      <c r="H11" s="19">
        <f t="shared" ref="H11:H42" si="5">1*K11</f>
        <v>-3990.5</v>
      </c>
      <c r="I11" s="28" t="s">
        <v>125</v>
      </c>
      <c r="J11" s="29" t="s">
        <v>126</v>
      </c>
      <c r="K11" s="28">
        <v>-3990.5</v>
      </c>
      <c r="L11" s="28" t="s">
        <v>127</v>
      </c>
      <c r="M11" s="29" t="s">
        <v>128</v>
      </c>
      <c r="N11" s="29"/>
      <c r="O11" s="30" t="s">
        <v>129</v>
      </c>
      <c r="P11" s="30" t="s">
        <v>130</v>
      </c>
    </row>
    <row r="12" spans="1:16" ht="12.75" customHeight="1" thickBot="1">
      <c r="A12" s="19" t="str">
        <f t="shared" si="0"/>
        <v> BBS 86 </v>
      </c>
      <c r="B12" s="6" t="str">
        <f t="shared" si="1"/>
        <v>I</v>
      </c>
      <c r="C12" s="19">
        <f t="shared" si="2"/>
        <v>47037.385000000002</v>
      </c>
      <c r="D12" s="18" t="str">
        <f t="shared" si="3"/>
        <v>vis</v>
      </c>
      <c r="E12" s="27">
        <f>VLOOKUP(C12,Active!C$21:E$973,3,FALSE)</f>
        <v>17330.985062806896</v>
      </c>
      <c r="F12" s="6" t="s">
        <v>46</v>
      </c>
      <c r="G12" s="18" t="str">
        <f t="shared" si="4"/>
        <v>47037.385</v>
      </c>
      <c r="H12" s="19">
        <f t="shared" si="5"/>
        <v>-3958</v>
      </c>
      <c r="I12" s="28" t="s">
        <v>131</v>
      </c>
      <c r="J12" s="29" t="s">
        <v>132</v>
      </c>
      <c r="K12" s="28">
        <v>-3958</v>
      </c>
      <c r="L12" s="28" t="s">
        <v>133</v>
      </c>
      <c r="M12" s="29" t="s">
        <v>128</v>
      </c>
      <c r="N12" s="29"/>
      <c r="O12" s="30" t="s">
        <v>134</v>
      </c>
      <c r="P12" s="30" t="s">
        <v>135</v>
      </c>
    </row>
    <row r="13" spans="1:16" ht="12.75" customHeight="1" thickBot="1">
      <c r="A13" s="19" t="str">
        <f t="shared" si="0"/>
        <v> BBS 86 </v>
      </c>
      <c r="B13" s="6" t="str">
        <f t="shared" si="1"/>
        <v>I</v>
      </c>
      <c r="C13" s="19">
        <f t="shared" si="2"/>
        <v>47059.38</v>
      </c>
      <c r="D13" s="18" t="str">
        <f t="shared" si="3"/>
        <v>vis</v>
      </c>
      <c r="E13" s="27">
        <f>VLOOKUP(C13,Active!C$21:E$973,3,FALSE)</f>
        <v>17348.979561783428</v>
      </c>
      <c r="F13" s="6" t="s">
        <v>46</v>
      </c>
      <c r="G13" s="18" t="str">
        <f t="shared" si="4"/>
        <v>47059.380</v>
      </c>
      <c r="H13" s="19">
        <f t="shared" si="5"/>
        <v>-3940</v>
      </c>
      <c r="I13" s="28" t="s">
        <v>136</v>
      </c>
      <c r="J13" s="29" t="s">
        <v>137</v>
      </c>
      <c r="K13" s="28">
        <v>-3940</v>
      </c>
      <c r="L13" s="28" t="s">
        <v>138</v>
      </c>
      <c r="M13" s="29" t="s">
        <v>128</v>
      </c>
      <c r="N13" s="29"/>
      <c r="O13" s="30" t="s">
        <v>134</v>
      </c>
      <c r="P13" s="30" t="s">
        <v>135</v>
      </c>
    </row>
    <row r="14" spans="1:16" ht="12.75" customHeight="1" thickBot="1">
      <c r="A14" s="19" t="str">
        <f t="shared" si="0"/>
        <v> BBS 86 </v>
      </c>
      <c r="B14" s="6" t="str">
        <f t="shared" si="1"/>
        <v>I</v>
      </c>
      <c r="C14" s="19">
        <f t="shared" si="2"/>
        <v>47449.292999999998</v>
      </c>
      <c r="D14" s="18" t="str">
        <f t="shared" si="3"/>
        <v>vis</v>
      </c>
      <c r="E14" s="27">
        <f>VLOOKUP(C14,Active!C$21:E$973,3,FALSE)</f>
        <v>17667.974291469156</v>
      </c>
      <c r="F14" s="6" t="s">
        <v>46</v>
      </c>
      <c r="G14" s="18" t="str">
        <f t="shared" si="4"/>
        <v>47449.293</v>
      </c>
      <c r="H14" s="19">
        <f t="shared" si="5"/>
        <v>-3621</v>
      </c>
      <c r="I14" s="28" t="s">
        <v>139</v>
      </c>
      <c r="J14" s="29" t="s">
        <v>140</v>
      </c>
      <c r="K14" s="28">
        <v>-3621</v>
      </c>
      <c r="L14" s="28" t="s">
        <v>141</v>
      </c>
      <c r="M14" s="29" t="s">
        <v>128</v>
      </c>
      <c r="N14" s="29"/>
      <c r="O14" s="30" t="s">
        <v>134</v>
      </c>
      <c r="P14" s="30" t="s">
        <v>135</v>
      </c>
    </row>
    <row r="15" spans="1:16" ht="12.75" customHeight="1" thickBot="1">
      <c r="A15" s="19" t="str">
        <f t="shared" si="0"/>
        <v> BBS 99 </v>
      </c>
      <c r="B15" s="6" t="str">
        <f t="shared" si="1"/>
        <v>I</v>
      </c>
      <c r="C15" s="19">
        <f t="shared" si="2"/>
        <v>48538.394999999997</v>
      </c>
      <c r="D15" s="18" t="str">
        <f t="shared" si="3"/>
        <v>vis</v>
      </c>
      <c r="E15" s="27">
        <f>VLOOKUP(C15,Active!C$21:E$973,3,FALSE)</f>
        <v>18558.987922946399</v>
      </c>
      <c r="F15" s="6" t="s">
        <v>46</v>
      </c>
      <c r="G15" s="18" t="str">
        <f t="shared" si="4"/>
        <v>48538.395</v>
      </c>
      <c r="H15" s="19">
        <f t="shared" si="5"/>
        <v>-2730</v>
      </c>
      <c r="I15" s="28" t="s">
        <v>142</v>
      </c>
      <c r="J15" s="29" t="s">
        <v>143</v>
      </c>
      <c r="K15" s="28">
        <v>-2730</v>
      </c>
      <c r="L15" s="28" t="s">
        <v>144</v>
      </c>
      <c r="M15" s="29" t="s">
        <v>145</v>
      </c>
      <c r="N15" s="29" t="s">
        <v>146</v>
      </c>
      <c r="O15" s="30" t="s">
        <v>134</v>
      </c>
      <c r="P15" s="30" t="s">
        <v>147</v>
      </c>
    </row>
    <row r="16" spans="1:16" ht="12.75" customHeight="1" thickBot="1">
      <c r="A16" s="19" t="str">
        <f t="shared" si="0"/>
        <v> BBS 117 </v>
      </c>
      <c r="B16" s="6" t="str">
        <f t="shared" si="1"/>
        <v>I</v>
      </c>
      <c r="C16" s="19">
        <f t="shared" si="2"/>
        <v>50726.338000000003</v>
      </c>
      <c r="D16" s="18" t="str">
        <f t="shared" si="3"/>
        <v>vis</v>
      </c>
      <c r="E16" s="27">
        <f>VLOOKUP(C16,Active!C$21:E$973,3,FALSE)</f>
        <v>20348.982834254264</v>
      </c>
      <c r="F16" s="6" t="s">
        <v>46</v>
      </c>
      <c r="G16" s="18" t="str">
        <f t="shared" si="4"/>
        <v>50726.338</v>
      </c>
      <c r="H16" s="19">
        <f t="shared" si="5"/>
        <v>-940</v>
      </c>
      <c r="I16" s="28" t="s">
        <v>148</v>
      </c>
      <c r="J16" s="29" t="s">
        <v>149</v>
      </c>
      <c r="K16" s="28">
        <v>-940</v>
      </c>
      <c r="L16" s="28" t="s">
        <v>150</v>
      </c>
      <c r="M16" s="29" t="s">
        <v>145</v>
      </c>
      <c r="N16" s="29" t="s">
        <v>146</v>
      </c>
      <c r="O16" s="30" t="s">
        <v>134</v>
      </c>
      <c r="P16" s="30" t="s">
        <v>151</v>
      </c>
    </row>
    <row r="17" spans="1:16" ht="12.75" customHeight="1" thickBot="1">
      <c r="A17" s="19" t="str">
        <f t="shared" si="0"/>
        <v> MVS 3.166 </v>
      </c>
      <c r="B17" s="6" t="str">
        <f t="shared" si="1"/>
        <v>II</v>
      </c>
      <c r="C17" s="19">
        <f t="shared" si="2"/>
        <v>25853.384999999998</v>
      </c>
      <c r="D17" s="18" t="str">
        <f t="shared" si="3"/>
        <v>vis</v>
      </c>
      <c r="E17" s="27">
        <f>VLOOKUP(C17,Active!C$21:E$973,3,FALSE)</f>
        <v>-2.0452942688772638E-2</v>
      </c>
      <c r="F17" s="6" t="s">
        <v>46</v>
      </c>
      <c r="G17" s="18" t="str">
        <f t="shared" si="4"/>
        <v>25853.385</v>
      </c>
      <c r="H17" s="19">
        <f t="shared" si="5"/>
        <v>-21288.5</v>
      </c>
      <c r="I17" s="28" t="s">
        <v>49</v>
      </c>
      <c r="J17" s="29" t="s">
        <v>50</v>
      </c>
      <c r="K17" s="28">
        <v>-21288.5</v>
      </c>
      <c r="L17" s="28" t="s">
        <v>51</v>
      </c>
      <c r="M17" s="29" t="s">
        <v>52</v>
      </c>
      <c r="N17" s="29"/>
      <c r="O17" s="30" t="s">
        <v>53</v>
      </c>
      <c r="P17" s="30" t="s">
        <v>54</v>
      </c>
    </row>
    <row r="18" spans="1:16" ht="12.75" customHeight="1" thickBot="1">
      <c r="A18" s="19" t="str">
        <f t="shared" si="0"/>
        <v> MVS 3.166 </v>
      </c>
      <c r="B18" s="6" t="str">
        <f t="shared" si="1"/>
        <v>II</v>
      </c>
      <c r="C18" s="19">
        <f t="shared" si="2"/>
        <v>25880.308000000001</v>
      </c>
      <c r="D18" s="18" t="str">
        <f t="shared" si="3"/>
        <v>vis</v>
      </c>
      <c r="E18" s="27">
        <f>VLOOKUP(C18,Active!C$21:E$973,3,FALSE)</f>
        <v>22.005730096424209</v>
      </c>
      <c r="F18" s="6" t="s">
        <v>46</v>
      </c>
      <c r="G18" s="18" t="str">
        <f t="shared" si="4"/>
        <v>25880.308</v>
      </c>
      <c r="H18" s="19">
        <f t="shared" si="5"/>
        <v>-21266.5</v>
      </c>
      <c r="I18" s="28" t="s">
        <v>55</v>
      </c>
      <c r="J18" s="29" t="s">
        <v>56</v>
      </c>
      <c r="K18" s="28">
        <v>-21266.5</v>
      </c>
      <c r="L18" s="28" t="s">
        <v>57</v>
      </c>
      <c r="M18" s="29" t="s">
        <v>52</v>
      </c>
      <c r="N18" s="29"/>
      <c r="O18" s="30" t="s">
        <v>53</v>
      </c>
      <c r="P18" s="30" t="s">
        <v>54</v>
      </c>
    </row>
    <row r="19" spans="1:16" ht="12.75" customHeight="1" thickBot="1">
      <c r="A19" s="19" t="str">
        <f t="shared" si="0"/>
        <v> MVS 3.166 </v>
      </c>
      <c r="B19" s="6" t="str">
        <f t="shared" si="1"/>
        <v>II</v>
      </c>
      <c r="C19" s="19">
        <f t="shared" si="2"/>
        <v>26920.455999999998</v>
      </c>
      <c r="D19" s="18" t="str">
        <f t="shared" si="3"/>
        <v>vis</v>
      </c>
      <c r="E19" s="27">
        <f>VLOOKUP(C19,Active!C$21:E$973,3,FALSE)</f>
        <v>872.96922732054873</v>
      </c>
      <c r="F19" s="6" t="s">
        <v>46</v>
      </c>
      <c r="G19" s="18" t="str">
        <f t="shared" si="4"/>
        <v>26920.456</v>
      </c>
      <c r="H19" s="19">
        <f t="shared" si="5"/>
        <v>-20415.5</v>
      </c>
      <c r="I19" s="28" t="s">
        <v>58</v>
      </c>
      <c r="J19" s="29" t="s">
        <v>59</v>
      </c>
      <c r="K19" s="28">
        <v>-20415.5</v>
      </c>
      <c r="L19" s="28" t="s">
        <v>60</v>
      </c>
      <c r="M19" s="29" t="s">
        <v>52</v>
      </c>
      <c r="N19" s="29"/>
      <c r="O19" s="30" t="s">
        <v>53</v>
      </c>
      <c r="P19" s="30" t="s">
        <v>54</v>
      </c>
    </row>
    <row r="20" spans="1:16" ht="12.75" customHeight="1" thickBot="1">
      <c r="A20" s="19" t="str">
        <f t="shared" si="0"/>
        <v> MVS 3.166 </v>
      </c>
      <c r="B20" s="6" t="str">
        <f t="shared" si="1"/>
        <v>II</v>
      </c>
      <c r="C20" s="19">
        <f t="shared" si="2"/>
        <v>26931.47</v>
      </c>
      <c r="D20" s="18" t="str">
        <f t="shared" si="3"/>
        <v>vis</v>
      </c>
      <c r="E20" s="27">
        <f>VLOOKUP(C20,Active!C$21:E$973,3,FALSE)</f>
        <v>881.97997575099225</v>
      </c>
      <c r="F20" s="6" t="s">
        <v>46</v>
      </c>
      <c r="G20" s="18" t="str">
        <f t="shared" si="4"/>
        <v>26931.470</v>
      </c>
      <c r="H20" s="19">
        <f t="shared" si="5"/>
        <v>-20406.5</v>
      </c>
      <c r="I20" s="28" t="s">
        <v>61</v>
      </c>
      <c r="J20" s="29" t="s">
        <v>62</v>
      </c>
      <c r="K20" s="28">
        <v>-20406.5</v>
      </c>
      <c r="L20" s="28" t="s">
        <v>51</v>
      </c>
      <c r="M20" s="29" t="s">
        <v>52</v>
      </c>
      <c r="N20" s="29"/>
      <c r="O20" s="30" t="s">
        <v>53</v>
      </c>
      <c r="P20" s="30" t="s">
        <v>54</v>
      </c>
    </row>
    <row r="21" spans="1:16" ht="12.75" customHeight="1" thickBot="1">
      <c r="A21" s="19" t="str">
        <f t="shared" si="0"/>
        <v> MVS 3.166 </v>
      </c>
      <c r="B21" s="6" t="str">
        <f t="shared" si="1"/>
        <v>II</v>
      </c>
      <c r="C21" s="19">
        <f t="shared" si="2"/>
        <v>27689.371999999999</v>
      </c>
      <c r="D21" s="18" t="str">
        <f t="shared" si="3"/>
        <v>vis</v>
      </c>
      <c r="E21" s="27">
        <f>VLOOKUP(C21,Active!C$21:E$973,3,FALSE)</f>
        <v>1502.0330225031453</v>
      </c>
      <c r="F21" s="6" t="s">
        <v>46</v>
      </c>
      <c r="G21" s="18" t="str">
        <f t="shared" si="4"/>
        <v>27689.372</v>
      </c>
      <c r="H21" s="19">
        <f t="shared" si="5"/>
        <v>-19786.5</v>
      </c>
      <c r="I21" s="28" t="s">
        <v>63</v>
      </c>
      <c r="J21" s="29" t="s">
        <v>64</v>
      </c>
      <c r="K21" s="28">
        <v>-19786.5</v>
      </c>
      <c r="L21" s="28" t="s">
        <v>65</v>
      </c>
      <c r="M21" s="29" t="s">
        <v>52</v>
      </c>
      <c r="N21" s="29"/>
      <c r="O21" s="30" t="s">
        <v>53</v>
      </c>
      <c r="P21" s="30" t="s">
        <v>54</v>
      </c>
    </row>
    <row r="22" spans="1:16" ht="12.75" customHeight="1" thickBot="1">
      <c r="A22" s="19" t="str">
        <f t="shared" si="0"/>
        <v> BSAO 17.28 </v>
      </c>
      <c r="B22" s="6" t="str">
        <f t="shared" si="1"/>
        <v>II</v>
      </c>
      <c r="C22" s="19">
        <f t="shared" si="2"/>
        <v>29547.3</v>
      </c>
      <c r="D22" s="18" t="str">
        <f t="shared" si="3"/>
        <v>vis</v>
      </c>
      <c r="E22" s="27">
        <f>VLOOKUP(C22,Active!C$21:E$973,3,FALSE)</f>
        <v>3022.0368185693078</v>
      </c>
      <c r="F22" s="6" t="s">
        <v>46</v>
      </c>
      <c r="G22" s="18" t="str">
        <f t="shared" si="4"/>
        <v>29547.30</v>
      </c>
      <c r="H22" s="19">
        <f t="shared" si="5"/>
        <v>-18266.5</v>
      </c>
      <c r="I22" s="28" t="s">
        <v>66</v>
      </c>
      <c r="J22" s="29" t="s">
        <v>67</v>
      </c>
      <c r="K22" s="28">
        <v>-18266.5</v>
      </c>
      <c r="L22" s="28" t="s">
        <v>68</v>
      </c>
      <c r="M22" s="29" t="s">
        <v>52</v>
      </c>
      <c r="N22" s="29"/>
      <c r="O22" s="30" t="s">
        <v>69</v>
      </c>
      <c r="P22" s="30" t="s">
        <v>70</v>
      </c>
    </row>
    <row r="23" spans="1:16" ht="12.75" customHeight="1" thickBot="1">
      <c r="A23" s="19" t="str">
        <f t="shared" si="0"/>
        <v> BSAO 17.28 </v>
      </c>
      <c r="B23" s="6" t="str">
        <f t="shared" si="1"/>
        <v>II</v>
      </c>
      <c r="C23" s="19">
        <f t="shared" si="2"/>
        <v>29552.16</v>
      </c>
      <c r="D23" s="18" t="str">
        <f t="shared" si="3"/>
        <v>vis</v>
      </c>
      <c r="E23" s="27">
        <f>VLOOKUP(C23,Active!C$21:E$973,3,FALSE)</f>
        <v>3026.0128706277742</v>
      </c>
      <c r="F23" s="6" t="s">
        <v>46</v>
      </c>
      <c r="G23" s="18" t="str">
        <f t="shared" si="4"/>
        <v>29552.16</v>
      </c>
      <c r="H23" s="19">
        <f t="shared" si="5"/>
        <v>-18262.5</v>
      </c>
      <c r="I23" s="28" t="s">
        <v>71</v>
      </c>
      <c r="J23" s="29" t="s">
        <v>72</v>
      </c>
      <c r="K23" s="28">
        <v>-18262.5</v>
      </c>
      <c r="L23" s="28" t="s">
        <v>73</v>
      </c>
      <c r="M23" s="29" t="s">
        <v>52</v>
      </c>
      <c r="N23" s="29"/>
      <c r="O23" s="30" t="s">
        <v>69</v>
      </c>
      <c r="P23" s="30" t="s">
        <v>70</v>
      </c>
    </row>
    <row r="24" spans="1:16" ht="12.75" customHeight="1" thickBot="1">
      <c r="A24" s="19" t="str">
        <f t="shared" si="0"/>
        <v> BSAO 17.28 </v>
      </c>
      <c r="B24" s="6" t="str">
        <f t="shared" si="1"/>
        <v>II</v>
      </c>
      <c r="C24" s="19">
        <f t="shared" si="2"/>
        <v>29904.2</v>
      </c>
      <c r="D24" s="18" t="str">
        <f t="shared" si="3"/>
        <v>vis</v>
      </c>
      <c r="E24" s="27">
        <f>VLOOKUP(C24,Active!C$21:E$973,3,FALSE)</f>
        <v>3314.0230283772316</v>
      </c>
      <c r="F24" s="6" t="s">
        <v>46</v>
      </c>
      <c r="G24" s="18" t="str">
        <f t="shared" si="4"/>
        <v>29904.20</v>
      </c>
      <c r="H24" s="19">
        <f t="shared" si="5"/>
        <v>-17974.5</v>
      </c>
      <c r="I24" s="28" t="s">
        <v>74</v>
      </c>
      <c r="J24" s="29" t="s">
        <v>75</v>
      </c>
      <c r="K24" s="28">
        <v>-17974.5</v>
      </c>
      <c r="L24" s="28" t="s">
        <v>76</v>
      </c>
      <c r="M24" s="29" t="s">
        <v>52</v>
      </c>
      <c r="N24" s="29"/>
      <c r="O24" s="30" t="s">
        <v>69</v>
      </c>
      <c r="P24" s="30" t="s">
        <v>70</v>
      </c>
    </row>
    <row r="25" spans="1:16" ht="12.75" customHeight="1" thickBot="1">
      <c r="A25" s="19" t="str">
        <f t="shared" si="0"/>
        <v> MVS 3.166 </v>
      </c>
      <c r="B25" s="6" t="str">
        <f t="shared" si="1"/>
        <v>II</v>
      </c>
      <c r="C25" s="19">
        <f t="shared" si="2"/>
        <v>30999.366999999998</v>
      </c>
      <c r="D25" s="18" t="str">
        <f t="shared" si="3"/>
        <v>vis</v>
      </c>
      <c r="E25" s="27">
        <f>VLOOKUP(C25,Active!C$21:E$973,3,FALSE)</f>
        <v>4209.9985437504793</v>
      </c>
      <c r="F25" s="6" t="s">
        <v>46</v>
      </c>
      <c r="G25" s="18" t="str">
        <f t="shared" si="4"/>
        <v>30999.367</v>
      </c>
      <c r="H25" s="19">
        <f t="shared" si="5"/>
        <v>-17078.5</v>
      </c>
      <c r="I25" s="28" t="s">
        <v>77</v>
      </c>
      <c r="J25" s="29" t="s">
        <v>78</v>
      </c>
      <c r="K25" s="28">
        <v>-17078.5</v>
      </c>
      <c r="L25" s="28" t="s">
        <v>79</v>
      </c>
      <c r="M25" s="29" t="s">
        <v>52</v>
      </c>
      <c r="N25" s="29"/>
      <c r="O25" s="30" t="s">
        <v>53</v>
      </c>
      <c r="P25" s="30" t="s">
        <v>54</v>
      </c>
    </row>
    <row r="26" spans="1:16" ht="12.75" customHeight="1" thickBot="1">
      <c r="A26" s="19" t="str">
        <f t="shared" si="0"/>
        <v> BSAO 17.28 </v>
      </c>
      <c r="B26" s="6" t="str">
        <f t="shared" si="1"/>
        <v>II</v>
      </c>
      <c r="C26" s="19">
        <f t="shared" si="2"/>
        <v>32742.37</v>
      </c>
      <c r="D26" s="18" t="str">
        <f t="shared" si="3"/>
        <v>vis</v>
      </c>
      <c r="E26" s="27">
        <f>VLOOKUP(C26,Active!C$21:E$973,3,FALSE)</f>
        <v>5635.9801622818277</v>
      </c>
      <c r="F26" s="6" t="s">
        <v>46</v>
      </c>
      <c r="G26" s="18" t="str">
        <f t="shared" si="4"/>
        <v>32742.37</v>
      </c>
      <c r="H26" s="19">
        <f t="shared" si="5"/>
        <v>-15652.5</v>
      </c>
      <c r="I26" s="28" t="s">
        <v>80</v>
      </c>
      <c r="J26" s="29" t="s">
        <v>81</v>
      </c>
      <c r="K26" s="28">
        <v>-15652.5</v>
      </c>
      <c r="L26" s="28" t="s">
        <v>82</v>
      </c>
      <c r="M26" s="29" t="s">
        <v>52</v>
      </c>
      <c r="N26" s="29"/>
      <c r="O26" s="30" t="s">
        <v>69</v>
      </c>
      <c r="P26" s="30" t="s">
        <v>70</v>
      </c>
    </row>
    <row r="27" spans="1:16" ht="12.75" customHeight="1" thickBot="1">
      <c r="A27" s="19" t="str">
        <f t="shared" si="0"/>
        <v> MVS 3.166 </v>
      </c>
      <c r="B27" s="6" t="str">
        <f t="shared" si="1"/>
        <v>II</v>
      </c>
      <c r="C27" s="19">
        <f t="shared" si="2"/>
        <v>33160.46</v>
      </c>
      <c r="D27" s="18" t="str">
        <f t="shared" si="3"/>
        <v>vis</v>
      </c>
      <c r="E27" s="27">
        <f>VLOOKUP(C27,Active!C$21:E$973,3,FALSE)</f>
        <v>5978.026994611876</v>
      </c>
      <c r="F27" s="6" t="s">
        <v>46</v>
      </c>
      <c r="G27" s="18" t="str">
        <f t="shared" si="4"/>
        <v>33160.460</v>
      </c>
      <c r="H27" s="19">
        <f t="shared" si="5"/>
        <v>-15310.5</v>
      </c>
      <c r="I27" s="28" t="s">
        <v>83</v>
      </c>
      <c r="J27" s="29" t="s">
        <v>84</v>
      </c>
      <c r="K27" s="28">
        <v>-15310.5</v>
      </c>
      <c r="L27" s="28" t="s">
        <v>85</v>
      </c>
      <c r="M27" s="29" t="s">
        <v>52</v>
      </c>
      <c r="N27" s="29"/>
      <c r="O27" s="30" t="s">
        <v>53</v>
      </c>
      <c r="P27" s="30" t="s">
        <v>54</v>
      </c>
    </row>
    <row r="28" spans="1:16" ht="12.75" customHeight="1" thickBot="1">
      <c r="A28" s="19" t="str">
        <f t="shared" si="0"/>
        <v> BSAO 17.28 </v>
      </c>
      <c r="B28" s="6" t="str">
        <f t="shared" si="1"/>
        <v>II</v>
      </c>
      <c r="C28" s="19">
        <f t="shared" si="2"/>
        <v>33858.370000000003</v>
      </c>
      <c r="D28" s="18" t="str">
        <f t="shared" si="3"/>
        <v>vis</v>
      </c>
      <c r="E28" s="27">
        <f>VLOOKUP(C28,Active!C$21:E$973,3,FALSE)</f>
        <v>6548.9995238554966</v>
      </c>
      <c r="F28" s="6" t="s">
        <v>46</v>
      </c>
      <c r="G28" s="18" t="str">
        <f t="shared" si="4"/>
        <v>33858.37</v>
      </c>
      <c r="H28" s="19">
        <f t="shared" si="5"/>
        <v>-14739.5</v>
      </c>
      <c r="I28" s="28" t="s">
        <v>86</v>
      </c>
      <c r="J28" s="29" t="s">
        <v>87</v>
      </c>
      <c r="K28" s="28">
        <v>-14739.5</v>
      </c>
      <c r="L28" s="28" t="s">
        <v>88</v>
      </c>
      <c r="M28" s="29" t="s">
        <v>52</v>
      </c>
      <c r="N28" s="29"/>
      <c r="O28" s="30" t="s">
        <v>69</v>
      </c>
      <c r="P28" s="30" t="s">
        <v>70</v>
      </c>
    </row>
    <row r="29" spans="1:16" ht="12.75" customHeight="1" thickBot="1">
      <c r="A29" s="19" t="str">
        <f t="shared" si="0"/>
        <v> BSAO 17.28 </v>
      </c>
      <c r="B29" s="6" t="str">
        <f t="shared" si="1"/>
        <v>II</v>
      </c>
      <c r="C29" s="19">
        <f t="shared" si="2"/>
        <v>33918.160000000003</v>
      </c>
      <c r="D29" s="18" t="str">
        <f t="shared" si="3"/>
        <v>vis</v>
      </c>
      <c r="E29" s="27">
        <f>VLOOKUP(C29,Active!C$21:E$973,3,FALSE)</f>
        <v>6597.9147815871183</v>
      </c>
      <c r="F29" s="6" t="s">
        <v>46</v>
      </c>
      <c r="G29" s="18" t="str">
        <f t="shared" si="4"/>
        <v>33918.16</v>
      </c>
      <c r="H29" s="19">
        <f t="shared" si="5"/>
        <v>-14690.5</v>
      </c>
      <c r="I29" s="28" t="s">
        <v>89</v>
      </c>
      <c r="J29" s="29" t="s">
        <v>90</v>
      </c>
      <c r="K29" s="28">
        <v>-14690.5</v>
      </c>
      <c r="L29" s="28" t="s">
        <v>91</v>
      </c>
      <c r="M29" s="29" t="s">
        <v>52</v>
      </c>
      <c r="N29" s="29"/>
      <c r="O29" s="30" t="s">
        <v>69</v>
      </c>
      <c r="P29" s="30" t="s">
        <v>70</v>
      </c>
    </row>
    <row r="30" spans="1:16" ht="12.75" customHeight="1" thickBot="1">
      <c r="A30" s="19" t="str">
        <f t="shared" si="0"/>
        <v> BSAO 17.28 </v>
      </c>
      <c r="B30" s="6" t="str">
        <f t="shared" si="1"/>
        <v>II</v>
      </c>
      <c r="C30" s="19">
        <f t="shared" si="2"/>
        <v>34270.273999999998</v>
      </c>
      <c r="D30" s="18" t="str">
        <f t="shared" si="3"/>
        <v>vis</v>
      </c>
      <c r="E30" s="27">
        <f>VLOOKUP(C30,Active!C$21:E$973,3,FALSE)</f>
        <v>6885.9854800469257</v>
      </c>
      <c r="F30" s="6" t="s">
        <v>46</v>
      </c>
      <c r="G30" s="18" t="str">
        <f t="shared" si="4"/>
        <v>34270.274</v>
      </c>
      <c r="H30" s="19">
        <f t="shared" si="5"/>
        <v>-14402.5</v>
      </c>
      <c r="I30" s="28" t="s">
        <v>92</v>
      </c>
      <c r="J30" s="29" t="s">
        <v>93</v>
      </c>
      <c r="K30" s="28">
        <v>-14402.5</v>
      </c>
      <c r="L30" s="28" t="s">
        <v>94</v>
      </c>
      <c r="M30" s="29" t="s">
        <v>52</v>
      </c>
      <c r="N30" s="29"/>
      <c r="O30" s="30" t="s">
        <v>69</v>
      </c>
      <c r="P30" s="30" t="s">
        <v>70</v>
      </c>
    </row>
    <row r="31" spans="1:16" ht="12.75" customHeight="1" thickBot="1">
      <c r="A31" s="19" t="str">
        <f t="shared" si="0"/>
        <v> MVS 3.166 </v>
      </c>
      <c r="B31" s="6" t="str">
        <f t="shared" si="1"/>
        <v>II</v>
      </c>
      <c r="C31" s="19">
        <f t="shared" si="2"/>
        <v>37883.468000000001</v>
      </c>
      <c r="D31" s="18" t="str">
        <f t="shared" si="3"/>
        <v>vis</v>
      </c>
      <c r="E31" s="27">
        <f>VLOOKUP(C31,Active!C$21:E$973,3,FALSE)</f>
        <v>9842.0034720915519</v>
      </c>
      <c r="F31" s="6" t="s">
        <v>46</v>
      </c>
      <c r="G31" s="18" t="str">
        <f t="shared" si="4"/>
        <v>37883.468</v>
      </c>
      <c r="H31" s="19">
        <f t="shared" si="5"/>
        <v>-11446.5</v>
      </c>
      <c r="I31" s="28" t="s">
        <v>95</v>
      </c>
      <c r="J31" s="29" t="s">
        <v>96</v>
      </c>
      <c r="K31" s="28">
        <v>-11446.5</v>
      </c>
      <c r="L31" s="28" t="s">
        <v>97</v>
      </c>
      <c r="M31" s="29" t="s">
        <v>52</v>
      </c>
      <c r="N31" s="29"/>
      <c r="O31" s="30" t="s">
        <v>53</v>
      </c>
      <c r="P31" s="30" t="s">
        <v>54</v>
      </c>
    </row>
    <row r="32" spans="1:16" ht="12.75" customHeight="1" thickBot="1">
      <c r="A32" s="19" t="str">
        <f t="shared" si="0"/>
        <v> MVS 3.166 </v>
      </c>
      <c r="B32" s="6" t="str">
        <f t="shared" si="1"/>
        <v>II</v>
      </c>
      <c r="C32" s="19">
        <f t="shared" si="2"/>
        <v>37932.379000000001</v>
      </c>
      <c r="D32" s="18" t="str">
        <f t="shared" si="3"/>
        <v>vis</v>
      </c>
      <c r="E32" s="27">
        <f>VLOOKUP(C32,Active!C$21:E$973,3,FALSE)</f>
        <v>9882.0184272832448</v>
      </c>
      <c r="F32" s="6" t="s">
        <v>46</v>
      </c>
      <c r="G32" s="18" t="str">
        <f t="shared" si="4"/>
        <v>37932.379</v>
      </c>
      <c r="H32" s="19">
        <f t="shared" si="5"/>
        <v>-11406.5</v>
      </c>
      <c r="I32" s="28" t="s">
        <v>98</v>
      </c>
      <c r="J32" s="29" t="s">
        <v>99</v>
      </c>
      <c r="K32" s="28">
        <v>-11406.5</v>
      </c>
      <c r="L32" s="28" t="s">
        <v>100</v>
      </c>
      <c r="M32" s="29" t="s">
        <v>52</v>
      </c>
      <c r="N32" s="29"/>
      <c r="O32" s="30" t="s">
        <v>53</v>
      </c>
      <c r="P32" s="30" t="s">
        <v>54</v>
      </c>
    </row>
    <row r="33" spans="1:16" ht="12.75" customHeight="1" thickBot="1">
      <c r="A33" s="19" t="str">
        <f t="shared" si="0"/>
        <v> MVS 3.166 </v>
      </c>
      <c r="B33" s="6" t="str">
        <f t="shared" si="1"/>
        <v>II</v>
      </c>
      <c r="C33" s="19">
        <f t="shared" si="2"/>
        <v>37970.249000000003</v>
      </c>
      <c r="D33" s="18" t="str">
        <f t="shared" si="3"/>
        <v>vis</v>
      </c>
      <c r="E33" s="27">
        <f>VLOOKUP(C33,Active!C$21:E$973,3,FALSE)</f>
        <v>9913.000544866396</v>
      </c>
      <c r="F33" s="6" t="s">
        <v>46</v>
      </c>
      <c r="G33" s="18" t="str">
        <f t="shared" si="4"/>
        <v>37970.249</v>
      </c>
      <c r="H33" s="19">
        <f t="shared" si="5"/>
        <v>-11375.5</v>
      </c>
      <c r="I33" s="28" t="s">
        <v>101</v>
      </c>
      <c r="J33" s="29" t="s">
        <v>102</v>
      </c>
      <c r="K33" s="28">
        <v>-11375.5</v>
      </c>
      <c r="L33" s="28" t="s">
        <v>103</v>
      </c>
      <c r="M33" s="29" t="s">
        <v>52</v>
      </c>
      <c r="N33" s="29"/>
      <c r="O33" s="30" t="s">
        <v>53</v>
      </c>
      <c r="P33" s="30" t="s">
        <v>54</v>
      </c>
    </row>
    <row r="34" spans="1:16" ht="12.75" customHeight="1" thickBot="1">
      <c r="A34" s="19" t="str">
        <f t="shared" si="0"/>
        <v> MVS 3.166 </v>
      </c>
      <c r="B34" s="6" t="str">
        <f t="shared" si="1"/>
        <v>II</v>
      </c>
      <c r="C34" s="19">
        <f t="shared" si="2"/>
        <v>38284.421999999999</v>
      </c>
      <c r="D34" s="18" t="str">
        <f t="shared" si="3"/>
        <v>vis</v>
      </c>
      <c r="E34" s="27">
        <f>VLOOKUP(C34,Active!C$21:E$973,3,FALSE)</f>
        <v>10170.031039385822</v>
      </c>
      <c r="F34" s="6" t="s">
        <v>46</v>
      </c>
      <c r="G34" s="18" t="str">
        <f t="shared" si="4"/>
        <v>38284.422</v>
      </c>
      <c r="H34" s="19">
        <f t="shared" si="5"/>
        <v>-11118.5</v>
      </c>
      <c r="I34" s="28" t="s">
        <v>104</v>
      </c>
      <c r="J34" s="29" t="s">
        <v>105</v>
      </c>
      <c r="K34" s="28">
        <v>-11118.5</v>
      </c>
      <c r="L34" s="28" t="s">
        <v>106</v>
      </c>
      <c r="M34" s="29" t="s">
        <v>52</v>
      </c>
      <c r="N34" s="29"/>
      <c r="O34" s="30" t="s">
        <v>53</v>
      </c>
      <c r="P34" s="30" t="s">
        <v>54</v>
      </c>
    </row>
    <row r="35" spans="1:16" ht="12.75" customHeight="1" thickBot="1">
      <c r="A35" s="19" t="str">
        <f t="shared" si="0"/>
        <v> MVS 3.166 </v>
      </c>
      <c r="B35" s="6" t="str">
        <f t="shared" si="1"/>
        <v>II</v>
      </c>
      <c r="C35" s="19">
        <f t="shared" si="2"/>
        <v>38614.410000000003</v>
      </c>
      <c r="D35" s="18" t="str">
        <f t="shared" si="3"/>
        <v>vis</v>
      </c>
      <c r="E35" s="27">
        <f>VLOOKUP(C35,Active!C$21:E$973,3,FALSE)</f>
        <v>10440.00006544942</v>
      </c>
      <c r="F35" s="6" t="s">
        <v>46</v>
      </c>
      <c r="G35" s="18" t="str">
        <f t="shared" si="4"/>
        <v>38614.41</v>
      </c>
      <c r="H35" s="19">
        <f t="shared" si="5"/>
        <v>-10848.5</v>
      </c>
      <c r="I35" s="28" t="s">
        <v>107</v>
      </c>
      <c r="J35" s="29" t="s">
        <v>108</v>
      </c>
      <c r="K35" s="28">
        <v>-10848.5</v>
      </c>
      <c r="L35" s="28" t="s">
        <v>88</v>
      </c>
      <c r="M35" s="29" t="s">
        <v>48</v>
      </c>
      <c r="N35" s="29"/>
      <c r="O35" s="30" t="s">
        <v>53</v>
      </c>
      <c r="P35" s="30" t="s">
        <v>54</v>
      </c>
    </row>
    <row r="36" spans="1:16" ht="12.75" customHeight="1" thickBot="1">
      <c r="A36" s="19" t="str">
        <f t="shared" si="0"/>
        <v> MVS 3.166 </v>
      </c>
      <c r="B36" s="6" t="str">
        <f t="shared" si="1"/>
        <v>II</v>
      </c>
      <c r="C36" s="19">
        <f t="shared" si="2"/>
        <v>38641.300000000003</v>
      </c>
      <c r="D36" s="18" t="str">
        <f t="shared" si="3"/>
        <v>vis</v>
      </c>
      <c r="E36" s="27">
        <f>VLOOKUP(C36,Active!C$21:E$973,3,FALSE)</f>
        <v>10461.999250604182</v>
      </c>
      <c r="F36" s="6" t="s">
        <v>46</v>
      </c>
      <c r="G36" s="18" t="str">
        <f t="shared" si="4"/>
        <v>38641.30</v>
      </c>
      <c r="H36" s="19">
        <f t="shared" si="5"/>
        <v>-10826.5</v>
      </c>
      <c r="I36" s="28" t="s">
        <v>109</v>
      </c>
      <c r="J36" s="29" t="s">
        <v>110</v>
      </c>
      <c r="K36" s="28">
        <v>-10826.5</v>
      </c>
      <c r="L36" s="28" t="s">
        <v>88</v>
      </c>
      <c r="M36" s="29" t="s">
        <v>48</v>
      </c>
      <c r="N36" s="29"/>
      <c r="O36" s="30" t="s">
        <v>53</v>
      </c>
      <c r="P36" s="30" t="s">
        <v>54</v>
      </c>
    </row>
    <row r="37" spans="1:16" ht="12.75" customHeight="1" thickBot="1">
      <c r="A37" s="19" t="str">
        <f t="shared" si="0"/>
        <v> MVS 3.166 </v>
      </c>
      <c r="B37" s="6" t="str">
        <f t="shared" si="1"/>
        <v>II</v>
      </c>
      <c r="C37" s="19">
        <f t="shared" si="2"/>
        <v>38642.53</v>
      </c>
      <c r="D37" s="18" t="str">
        <f t="shared" si="3"/>
        <v>vis</v>
      </c>
      <c r="E37" s="27">
        <f>VLOOKUP(C37,Active!C$21:E$973,3,FALSE)</f>
        <v>10463.005535384407</v>
      </c>
      <c r="F37" s="6" t="s">
        <v>46</v>
      </c>
      <c r="G37" s="18" t="str">
        <f t="shared" si="4"/>
        <v>38642.53</v>
      </c>
      <c r="H37" s="19">
        <f t="shared" si="5"/>
        <v>-10825.5</v>
      </c>
      <c r="I37" s="28" t="s">
        <v>111</v>
      </c>
      <c r="J37" s="29" t="s">
        <v>112</v>
      </c>
      <c r="K37" s="28">
        <v>-10825.5</v>
      </c>
      <c r="L37" s="28" t="s">
        <v>73</v>
      </c>
      <c r="M37" s="29" t="s">
        <v>48</v>
      </c>
      <c r="N37" s="29"/>
      <c r="O37" s="30" t="s">
        <v>53</v>
      </c>
      <c r="P37" s="30" t="s">
        <v>54</v>
      </c>
    </row>
    <row r="38" spans="1:16" ht="12.75" customHeight="1" thickBot="1">
      <c r="A38" s="19" t="str">
        <f t="shared" si="0"/>
        <v> MVS 3.166 </v>
      </c>
      <c r="B38" s="6" t="str">
        <f t="shared" si="1"/>
        <v>II</v>
      </c>
      <c r="C38" s="19">
        <f t="shared" si="2"/>
        <v>38669.383999999998</v>
      </c>
      <c r="D38" s="18" t="str">
        <f t="shared" si="3"/>
        <v>vis</v>
      </c>
      <c r="E38" s="27">
        <f>VLOOKUP(C38,Active!C$21:E$973,3,FALSE)</f>
        <v>10484.975268301701</v>
      </c>
      <c r="F38" s="6" t="s">
        <v>46</v>
      </c>
      <c r="G38" s="18" t="str">
        <f t="shared" si="4"/>
        <v>38669.384</v>
      </c>
      <c r="H38" s="19">
        <f t="shared" si="5"/>
        <v>-10803.5</v>
      </c>
      <c r="I38" s="28" t="s">
        <v>113</v>
      </c>
      <c r="J38" s="29" t="s">
        <v>114</v>
      </c>
      <c r="K38" s="28">
        <v>-10803.5</v>
      </c>
      <c r="L38" s="28" t="s">
        <v>115</v>
      </c>
      <c r="M38" s="29" t="s">
        <v>52</v>
      </c>
      <c r="N38" s="29"/>
      <c r="O38" s="30" t="s">
        <v>53</v>
      </c>
      <c r="P38" s="30" t="s">
        <v>54</v>
      </c>
    </row>
    <row r="39" spans="1:16" ht="12.75" customHeight="1" thickBot="1">
      <c r="A39" s="19" t="str">
        <f t="shared" si="0"/>
        <v> MVS 3.166 </v>
      </c>
      <c r="B39" s="6" t="str">
        <f t="shared" si="1"/>
        <v>II</v>
      </c>
      <c r="C39" s="19">
        <f t="shared" si="2"/>
        <v>38977.474999999999</v>
      </c>
      <c r="D39" s="18" t="str">
        <f t="shared" si="3"/>
        <v>vis</v>
      </c>
      <c r="E39" s="27">
        <f>VLOOKUP(C39,Active!C$21:E$973,3,FALSE)</f>
        <v>10737.029970924095</v>
      </c>
      <c r="F39" s="6" t="s">
        <v>46</v>
      </c>
      <c r="G39" s="18" t="str">
        <f t="shared" si="4"/>
        <v>38977.475</v>
      </c>
      <c r="H39" s="19">
        <f t="shared" si="5"/>
        <v>-10551.5</v>
      </c>
      <c r="I39" s="28" t="s">
        <v>116</v>
      </c>
      <c r="J39" s="29" t="s">
        <v>117</v>
      </c>
      <c r="K39" s="28">
        <v>-10551.5</v>
      </c>
      <c r="L39" s="28" t="s">
        <v>118</v>
      </c>
      <c r="M39" s="29" t="s">
        <v>52</v>
      </c>
      <c r="N39" s="29"/>
      <c r="O39" s="30" t="s">
        <v>53</v>
      </c>
      <c r="P39" s="30" t="s">
        <v>54</v>
      </c>
    </row>
    <row r="40" spans="1:16" ht="12.75" customHeight="1" thickBot="1">
      <c r="A40" s="19" t="str">
        <f t="shared" si="0"/>
        <v> MVS 3.166 </v>
      </c>
      <c r="B40" s="6" t="str">
        <f t="shared" si="1"/>
        <v>II</v>
      </c>
      <c r="C40" s="19">
        <f t="shared" si="2"/>
        <v>39026.356</v>
      </c>
      <c r="D40" s="18" t="str">
        <f t="shared" si="3"/>
        <v>vis</v>
      </c>
      <c r="E40" s="27">
        <f>VLOOKUP(C40,Active!C$21:E$973,3,FALSE)</f>
        <v>10777.020382584564</v>
      </c>
      <c r="F40" s="6" t="s">
        <v>46</v>
      </c>
      <c r="G40" s="18" t="str">
        <f t="shared" si="4"/>
        <v>39026.356</v>
      </c>
      <c r="H40" s="19">
        <f t="shared" si="5"/>
        <v>-10511.5</v>
      </c>
      <c r="I40" s="28" t="s">
        <v>119</v>
      </c>
      <c r="J40" s="29" t="s">
        <v>120</v>
      </c>
      <c r="K40" s="28">
        <v>-10511.5</v>
      </c>
      <c r="L40" s="28" t="s">
        <v>121</v>
      </c>
      <c r="M40" s="29" t="s">
        <v>52</v>
      </c>
      <c r="N40" s="29"/>
      <c r="O40" s="30" t="s">
        <v>53</v>
      </c>
      <c r="P40" s="30" t="s">
        <v>54</v>
      </c>
    </row>
    <row r="41" spans="1:16" ht="12.75" customHeight="1" thickBot="1">
      <c r="A41" s="19" t="str">
        <f t="shared" si="0"/>
        <v> MVS 3.166 </v>
      </c>
      <c r="B41" s="6" t="str">
        <f t="shared" si="1"/>
        <v>II</v>
      </c>
      <c r="C41" s="19">
        <f t="shared" si="2"/>
        <v>39059.317999999999</v>
      </c>
      <c r="D41" s="18" t="str">
        <f t="shared" si="3"/>
        <v>vis</v>
      </c>
      <c r="E41" s="27">
        <f>VLOOKUP(C41,Active!C$21:E$973,3,FALSE)</f>
        <v>10803.987178459287</v>
      </c>
      <c r="F41" s="6" t="s">
        <v>46</v>
      </c>
      <c r="G41" s="18" t="str">
        <f t="shared" si="4"/>
        <v>39059.318</v>
      </c>
      <c r="H41" s="19">
        <f t="shared" si="5"/>
        <v>-10484.5</v>
      </c>
      <c r="I41" s="28" t="s">
        <v>122</v>
      </c>
      <c r="J41" s="29" t="s">
        <v>123</v>
      </c>
      <c r="K41" s="28">
        <v>-10484.5</v>
      </c>
      <c r="L41" s="28" t="s">
        <v>124</v>
      </c>
      <c r="M41" s="29" t="s">
        <v>52</v>
      </c>
      <c r="N41" s="29"/>
      <c r="O41" s="30" t="s">
        <v>53</v>
      </c>
      <c r="P41" s="30" t="s">
        <v>54</v>
      </c>
    </row>
    <row r="42" spans="1:16" ht="12.75" customHeight="1" thickBot="1">
      <c r="A42" s="19" t="str">
        <f t="shared" si="0"/>
        <v> BBS 128 </v>
      </c>
      <c r="B42" s="6" t="str">
        <f t="shared" si="1"/>
        <v>I</v>
      </c>
      <c r="C42" s="19">
        <f t="shared" si="2"/>
        <v>52194.351999999999</v>
      </c>
      <c r="D42" s="18" t="str">
        <f t="shared" si="3"/>
        <v>vis</v>
      </c>
      <c r="E42" s="27">
        <f>VLOOKUP(C42,Active!C$21:E$973,3,FALSE)</f>
        <v>21549.991082516986</v>
      </c>
      <c r="F42" s="6" t="s">
        <v>46</v>
      </c>
      <c r="G42" s="18" t="str">
        <f t="shared" si="4"/>
        <v>52194.352</v>
      </c>
      <c r="H42" s="19">
        <f t="shared" si="5"/>
        <v>261</v>
      </c>
      <c r="I42" s="28" t="s">
        <v>152</v>
      </c>
      <c r="J42" s="29" t="s">
        <v>153</v>
      </c>
      <c r="K42" s="28">
        <v>261</v>
      </c>
      <c r="L42" s="28" t="s">
        <v>154</v>
      </c>
      <c r="M42" s="29" t="s">
        <v>145</v>
      </c>
      <c r="N42" s="29" t="s">
        <v>146</v>
      </c>
      <c r="O42" s="30" t="s">
        <v>134</v>
      </c>
      <c r="P42" s="30" t="s">
        <v>155</v>
      </c>
    </row>
    <row r="43" spans="1:16">
      <c r="B43" s="6"/>
      <c r="F43" s="6"/>
    </row>
    <row r="44" spans="1:16">
      <c r="B44" s="6"/>
      <c r="F44" s="6"/>
    </row>
    <row r="45" spans="1:16">
      <c r="B45" s="6"/>
      <c r="F45" s="6"/>
    </row>
    <row r="46" spans="1:16">
      <c r="B46" s="6"/>
      <c r="F46" s="6"/>
    </row>
    <row r="47" spans="1:16">
      <c r="B47" s="6"/>
      <c r="F47" s="6"/>
    </row>
    <row r="48" spans="1:1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</sheetData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2024-01-11T05:47:42Z</dcterms:modified>
</cp:coreProperties>
</file>