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8ACD9AE-9E4D-487B-A30B-1615473CF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62" i="2" l="1"/>
  <c r="F62" i="2" s="1"/>
  <c r="G62" i="2" s="1"/>
  <c r="K62" i="2" s="1"/>
  <c r="Q62" i="2"/>
  <c r="E63" i="2"/>
  <c r="F63" i="2"/>
  <c r="G63" i="2" s="1"/>
  <c r="K63" i="2" s="1"/>
  <c r="Q63" i="2"/>
  <c r="E61" i="2"/>
  <c r="F61" i="2" s="1"/>
  <c r="G61" i="2" s="1"/>
  <c r="K61" i="2" s="1"/>
  <c r="Q61" i="2"/>
  <c r="Q57" i="2"/>
  <c r="Q58" i="2"/>
  <c r="Q59" i="2"/>
  <c r="Q60" i="2"/>
  <c r="E56" i="2"/>
  <c r="F56" i="2" s="1"/>
  <c r="G56" i="2" s="1"/>
  <c r="K56" i="2" s="1"/>
  <c r="Q56" i="2"/>
  <c r="E54" i="2"/>
  <c r="F54" i="2" s="1"/>
  <c r="G54" i="2" s="1"/>
  <c r="K54" i="2" s="1"/>
  <c r="D9" i="2"/>
  <c r="C9" i="2"/>
  <c r="Q55" i="2"/>
  <c r="Q54" i="2"/>
  <c r="E51" i="2"/>
  <c r="F51" i="2" s="1"/>
  <c r="G51" i="2" s="1"/>
  <c r="K51" i="2" s="1"/>
  <c r="E52" i="2"/>
  <c r="F52" i="2" s="1"/>
  <c r="G52" i="2" s="1"/>
  <c r="K52" i="2" s="1"/>
  <c r="E53" i="2"/>
  <c r="F53" i="2" s="1"/>
  <c r="G53" i="2" s="1"/>
  <c r="K53" i="2" s="1"/>
  <c r="Q51" i="2"/>
  <c r="Q52" i="2"/>
  <c r="Q53" i="2"/>
  <c r="E58" i="2"/>
  <c r="F58" i="2" s="1"/>
  <c r="G58" i="2" s="1"/>
  <c r="K58" i="2" s="1"/>
  <c r="E55" i="2"/>
  <c r="F55" i="2" s="1"/>
  <c r="G55" i="2" s="1"/>
  <c r="K55" i="2" s="1"/>
  <c r="E28" i="2"/>
  <c r="F28" i="2" s="1"/>
  <c r="G28" i="2" s="1"/>
  <c r="K28" i="2" s="1"/>
  <c r="E42" i="2"/>
  <c r="F42" i="2" s="1"/>
  <c r="G42" i="2" s="1"/>
  <c r="K42" i="2" s="1"/>
  <c r="E47" i="2"/>
  <c r="F47" i="2" s="1"/>
  <c r="G47" i="2" s="1"/>
  <c r="K47" i="2" s="1"/>
  <c r="E49" i="2"/>
  <c r="F49" i="2" s="1"/>
  <c r="G49" i="2" s="1"/>
  <c r="K49" i="2" s="1"/>
  <c r="E50" i="2"/>
  <c r="F50" i="2" s="1"/>
  <c r="G50" i="2" s="1"/>
  <c r="K50" i="2" s="1"/>
  <c r="E48" i="2"/>
  <c r="F48" i="2" s="1"/>
  <c r="G48" i="2" s="1"/>
  <c r="K48" i="2" s="1"/>
  <c r="E27" i="2"/>
  <c r="E14" i="3" s="1"/>
  <c r="E30" i="2"/>
  <c r="E18" i="3" s="1"/>
  <c r="E31" i="2"/>
  <c r="E19" i="3" s="1"/>
  <c r="E34" i="2"/>
  <c r="F34" i="2" s="1"/>
  <c r="G34" i="2" s="1"/>
  <c r="K34" i="2" s="1"/>
  <c r="E35" i="2"/>
  <c r="E21" i="3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3" i="2"/>
  <c r="F43" i="2" s="1"/>
  <c r="G43" i="2" s="1"/>
  <c r="K43" i="2" s="1"/>
  <c r="E44" i="2"/>
  <c r="F44" i="2" s="1"/>
  <c r="G44" i="2" s="1"/>
  <c r="K44" i="2" s="1"/>
  <c r="E45" i="2"/>
  <c r="F45" i="2" s="1"/>
  <c r="G45" i="2" s="1"/>
  <c r="K45" i="2" s="1"/>
  <c r="E46" i="2"/>
  <c r="E26" i="3" s="1"/>
  <c r="E29" i="2"/>
  <c r="F29" i="2" s="1"/>
  <c r="E32" i="2"/>
  <c r="F32" i="2" s="1"/>
  <c r="E33" i="2"/>
  <c r="F33" i="2" s="1"/>
  <c r="E36" i="2"/>
  <c r="F36" i="2" s="1"/>
  <c r="E41" i="2"/>
  <c r="F41" i="2" s="1"/>
  <c r="U41" i="2" s="1"/>
  <c r="Q28" i="2"/>
  <c r="Q42" i="2"/>
  <c r="Q47" i="2"/>
  <c r="Q49" i="2"/>
  <c r="Q50" i="2"/>
  <c r="Q48" i="2"/>
  <c r="E22" i="2"/>
  <c r="F22" i="2" s="1"/>
  <c r="G22" i="2" s="1"/>
  <c r="I22" i="2" s="1"/>
  <c r="E23" i="2"/>
  <c r="F23" i="2" s="1"/>
  <c r="G23" i="2" s="1"/>
  <c r="I23" i="2" s="1"/>
  <c r="E24" i="2"/>
  <c r="F24" i="2" s="1"/>
  <c r="G24" i="2" s="1"/>
  <c r="I24" i="2" s="1"/>
  <c r="E25" i="2"/>
  <c r="F25" i="2" s="1"/>
  <c r="G25" i="2" s="1"/>
  <c r="I25" i="2" s="1"/>
  <c r="E21" i="2"/>
  <c r="F21" i="2" s="1"/>
  <c r="G21" i="2" s="1"/>
  <c r="H21" i="2" s="1"/>
  <c r="E26" i="2"/>
  <c r="E13" i="3" s="1"/>
  <c r="Q30" i="2"/>
  <c r="Q31" i="2"/>
  <c r="Q34" i="2"/>
  <c r="Q35" i="2"/>
  <c r="Q38" i="2"/>
  <c r="Q40" i="2"/>
  <c r="Q41" i="2"/>
  <c r="Q43" i="2"/>
  <c r="Q46" i="2"/>
  <c r="G12" i="3"/>
  <c r="C12" i="3"/>
  <c r="G13" i="3"/>
  <c r="C13" i="3"/>
  <c r="G14" i="3"/>
  <c r="C14" i="3"/>
  <c r="G18" i="3"/>
  <c r="C18" i="3"/>
  <c r="G19" i="3"/>
  <c r="C19" i="3"/>
  <c r="G20" i="3"/>
  <c r="C20" i="3"/>
  <c r="E20" i="3"/>
  <c r="G21" i="3"/>
  <c r="C21" i="3"/>
  <c r="G15" i="3"/>
  <c r="C15" i="3"/>
  <c r="G22" i="3"/>
  <c r="C22" i="3"/>
  <c r="G16" i="3"/>
  <c r="C16" i="3"/>
  <c r="E16" i="3"/>
  <c r="G23" i="3"/>
  <c r="C23" i="3"/>
  <c r="G24" i="3"/>
  <c r="C24" i="3"/>
  <c r="G25" i="3"/>
  <c r="C25" i="3"/>
  <c r="E25" i="3"/>
  <c r="G17" i="3"/>
  <c r="C17" i="3"/>
  <c r="G26" i="3"/>
  <c r="C26" i="3"/>
  <c r="G11" i="3"/>
  <c r="C11" i="3"/>
  <c r="H26" i="3"/>
  <c r="D26" i="3"/>
  <c r="B26" i="3"/>
  <c r="A26" i="3"/>
  <c r="H17" i="3"/>
  <c r="B17" i="3"/>
  <c r="D17" i="3"/>
  <c r="A17" i="3"/>
  <c r="H25" i="3"/>
  <c r="D25" i="3"/>
  <c r="B25" i="3"/>
  <c r="A25" i="3"/>
  <c r="H24" i="3"/>
  <c r="B24" i="3"/>
  <c r="D24" i="3"/>
  <c r="A24" i="3"/>
  <c r="H23" i="3"/>
  <c r="D23" i="3"/>
  <c r="B23" i="3"/>
  <c r="A23" i="3"/>
  <c r="H16" i="3"/>
  <c r="B16" i="3"/>
  <c r="D16" i="3"/>
  <c r="A16" i="3"/>
  <c r="H22" i="3"/>
  <c r="D22" i="3"/>
  <c r="B22" i="3"/>
  <c r="A22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45" i="2"/>
  <c r="Q44" i="2"/>
  <c r="F16" i="2"/>
  <c r="F17" i="2" s="1"/>
  <c r="C17" i="2"/>
  <c r="Q21" i="2"/>
  <c r="Q22" i="2"/>
  <c r="Q23" i="2"/>
  <c r="Q24" i="2"/>
  <c r="Q25" i="2"/>
  <c r="Q26" i="2"/>
  <c r="Q27" i="2"/>
  <c r="Q29" i="2"/>
  <c r="Q32" i="2"/>
  <c r="Q33" i="2"/>
  <c r="Q36" i="2"/>
  <c r="Q37" i="2"/>
  <c r="Q39" i="2"/>
  <c r="Q33" i="1"/>
  <c r="F11" i="1"/>
  <c r="Q32" i="1"/>
  <c r="G11" i="1"/>
  <c r="E15" i="1"/>
  <c r="C17" i="1"/>
  <c r="E30" i="1"/>
  <c r="F30" i="1"/>
  <c r="E31" i="1"/>
  <c r="F31" i="1"/>
  <c r="E21" i="1"/>
  <c r="F21" i="1"/>
  <c r="E23" i="1"/>
  <c r="F23" i="1"/>
  <c r="G23" i="1"/>
  <c r="I23" i="1"/>
  <c r="E26" i="1"/>
  <c r="F26" i="1"/>
  <c r="Q30" i="1"/>
  <c r="Q29" i="1"/>
  <c r="Q28" i="1"/>
  <c r="Q31" i="1"/>
  <c r="Q26" i="1"/>
  <c r="Q27" i="1"/>
  <c r="C7" i="1"/>
  <c r="E24" i="1"/>
  <c r="F24" i="1"/>
  <c r="C8" i="1"/>
  <c r="Q22" i="1"/>
  <c r="Q23" i="1"/>
  <c r="Q24" i="1"/>
  <c r="Q25" i="1"/>
  <c r="Q21" i="1"/>
  <c r="E25" i="1"/>
  <c r="F25" i="1"/>
  <c r="G25" i="1"/>
  <c r="I25" i="1"/>
  <c r="E28" i="1"/>
  <c r="F28" i="1"/>
  <c r="E33" i="1"/>
  <c r="F33" i="1"/>
  <c r="G33" i="1"/>
  <c r="J33" i="1"/>
  <c r="E22" i="1"/>
  <c r="F22" i="1"/>
  <c r="G22" i="1"/>
  <c r="I22" i="1"/>
  <c r="E27" i="1"/>
  <c r="F27" i="1"/>
  <c r="G27" i="1"/>
  <c r="J27" i="1"/>
  <c r="G21" i="1"/>
  <c r="E29" i="1"/>
  <c r="F29" i="1"/>
  <c r="E32" i="1"/>
  <c r="F32" i="1"/>
  <c r="G24" i="1"/>
  <c r="I24" i="1"/>
  <c r="G32" i="1"/>
  <c r="J32" i="1"/>
  <c r="G26" i="1"/>
  <c r="J26" i="1"/>
  <c r="H21" i="1"/>
  <c r="C12" i="1"/>
  <c r="E22" i="3" l="1"/>
  <c r="E17" i="3"/>
  <c r="E23" i="3"/>
  <c r="E15" i="3"/>
  <c r="E11" i="3"/>
  <c r="E24" i="3"/>
  <c r="F46" i="2"/>
  <c r="G46" i="2" s="1"/>
  <c r="K46" i="2" s="1"/>
  <c r="F30" i="2"/>
  <c r="G30" i="2" s="1"/>
  <c r="I30" i="2" s="1"/>
  <c r="E60" i="2"/>
  <c r="F60" i="2" s="1"/>
  <c r="G60" i="2" s="1"/>
  <c r="K60" i="2" s="1"/>
  <c r="E57" i="2"/>
  <c r="F57" i="2" s="1"/>
  <c r="G57" i="2" s="1"/>
  <c r="E59" i="2"/>
  <c r="F59" i="2" s="1"/>
  <c r="G59" i="2" s="1"/>
  <c r="K59" i="2" s="1"/>
  <c r="E12" i="3"/>
  <c r="F26" i="2"/>
  <c r="G26" i="2" s="1"/>
  <c r="J26" i="2" s="1"/>
  <c r="F35" i="2"/>
  <c r="G35" i="2" s="1"/>
  <c r="K35" i="2" s="1"/>
  <c r="F31" i="2"/>
  <c r="G31" i="2" s="1"/>
  <c r="I31" i="2" s="1"/>
  <c r="F27" i="2"/>
  <c r="G27" i="2" s="1"/>
  <c r="J27" i="2" s="1"/>
  <c r="C16" i="1"/>
  <c r="D18" i="1" s="1"/>
  <c r="C11" i="1"/>
  <c r="C11" i="2"/>
  <c r="C12" i="2"/>
  <c r="O63" i="2" l="1"/>
  <c r="O62" i="2"/>
  <c r="O61" i="2"/>
  <c r="C16" i="2"/>
  <c r="D18" i="2" s="1"/>
  <c r="O48" i="2"/>
  <c r="O34" i="2"/>
  <c r="O45" i="2"/>
  <c r="O31" i="2"/>
  <c r="O50" i="2"/>
  <c r="O33" i="2"/>
  <c r="O51" i="2"/>
  <c r="O44" i="2"/>
  <c r="O54" i="2"/>
  <c r="O57" i="2"/>
  <c r="O38" i="2"/>
  <c r="O49" i="2"/>
  <c r="O56" i="2"/>
  <c r="O41" i="2"/>
  <c r="O27" i="2"/>
  <c r="O60" i="2"/>
  <c r="O47" i="2"/>
  <c r="O32" i="2"/>
  <c r="O52" i="2"/>
  <c r="O30" i="2"/>
  <c r="O37" i="2"/>
  <c r="O39" i="2"/>
  <c r="O29" i="2"/>
  <c r="O40" i="2"/>
  <c r="O55" i="2"/>
  <c r="O59" i="2"/>
  <c r="O43" i="2"/>
  <c r="O28" i="2"/>
  <c r="O42" i="2"/>
  <c r="O58" i="2"/>
  <c r="O36" i="2"/>
  <c r="O46" i="2"/>
  <c r="O53" i="2"/>
  <c r="K57" i="2"/>
  <c r="O35" i="2"/>
  <c r="C15" i="2"/>
  <c r="C18" i="2" s="1"/>
  <c r="C15" i="1"/>
  <c r="O26" i="1"/>
  <c r="O30" i="1"/>
  <c r="O25" i="1"/>
  <c r="O23" i="1"/>
  <c r="O31" i="1"/>
  <c r="O24" i="1"/>
  <c r="O22" i="1"/>
  <c r="O28" i="1"/>
  <c r="O27" i="1"/>
  <c r="O29" i="1"/>
  <c r="O33" i="1"/>
  <c r="O32" i="1"/>
  <c r="O21" i="1"/>
  <c r="F18" i="2" l="1"/>
  <c r="F19" i="2" s="1"/>
  <c r="C18" i="1"/>
  <c r="E16" i="1"/>
  <c r="E17" i="1" s="1"/>
</calcChain>
</file>

<file path=xl/sharedStrings.xml><?xml version="1.0" encoding="utf-8"?>
<sst xmlns="http://schemas.openxmlformats.org/spreadsheetml/2006/main" count="359" uniqueCount="168">
  <si>
    <t>VSB-066</t>
  </si>
  <si>
    <t>JAVSO..44…69</t>
  </si>
  <si>
    <t>JAVSO..46…79 (2018)</t>
  </si>
  <si>
    <t>VSB-64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</si>
  <si>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</si>
  <si>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</si>
  <si>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</si>
  <si>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</si>
  <si>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</si>
  <si>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</si>
  <si>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</si>
  <si>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</si>
  <si>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</si>
  <si>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</si>
  <si>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</si>
  <si>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</si>
  <si>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</si>
  <si>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</si>
  <si>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</si>
  <si>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</si>
  <si>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</si>
  <si>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</si>
  <si>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</si>
  <si>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</si>
  <si>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</si>
  <si>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</si>
  <si>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</si>
  <si>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</si>
  <si>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</si>
  <si>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</si>
  <si>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</si>
  <si>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</si>
  <si>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</si>
  <si>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Bull.5</t>
  </si>
  <si>
    <t>B</t>
  </si>
  <si>
    <t>BBSAG Bull.6</t>
  </si>
  <si>
    <t>BBSAG</t>
  </si>
  <si>
    <t>IBVS 5378</t>
  </si>
  <si>
    <t>I</t>
  </si>
  <si>
    <t>IBVS</t>
  </si>
  <si>
    <t>IBVS 4711</t>
  </si>
  <si>
    <t>VS Bull</t>
  </si>
  <si>
    <t>VS Bulletin 43</t>
  </si>
  <si>
    <t># of data points:</t>
  </si>
  <si>
    <t>EW/KE:</t>
  </si>
  <si>
    <t>EK Aqr / GSC 05829-00648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</si>
  <si>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</si>
  <si>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</si>
  <si>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</si>
  <si>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</si>
  <si>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</si>
  <si>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</si>
  <si>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</si>
  <si>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</si>
  <si>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This is a better period</t>
  </si>
  <si>
    <t>Cruumy fit - see page B</t>
  </si>
  <si>
    <t>Add cycle</t>
  </si>
  <si>
    <t>Old Cycle</t>
  </si>
  <si>
    <t>IBVS 5960</t>
  </si>
  <si>
    <t>II</t>
  </si>
  <si>
    <t>BAD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</si>
  <si>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</si>
  <si>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</si>
  <si>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</si>
  <si>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</si>
  <si>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</si>
  <si>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</si>
  <si>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</si>
  <si>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</si>
  <si>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</si>
  <si>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</si>
  <si>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</si>
  <si>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2439726.56 </t>
  </si>
  <si>
    <t> 24.08.1967 01:26 </t>
  </si>
  <si>
    <t> 0.08 </t>
  </si>
  <si>
    <t>E </t>
  </si>
  <si>
    <t>?</t>
  </si>
  <si>
    <t> A.A.Schoenmaker </t>
  </si>
  <si>
    <t> BAN 20.222 </t>
  </si>
  <si>
    <t>2441621.308 </t>
  </si>
  <si>
    <t> 30.10.1972 19:23 </t>
  </si>
  <si>
    <t> 0.076 </t>
  </si>
  <si>
    <t>V </t>
  </si>
  <si>
    <t> K.Locher </t>
  </si>
  <si>
    <t> BBS 6 </t>
  </si>
  <si>
    <t>2450717.4960 </t>
  </si>
  <si>
    <t> 25.09.1997 23:54 </t>
  </si>
  <si>
    <t> 0.0096 </t>
  </si>
  <si>
    <t>o</t>
  </si>
  <si>
    <t> W.Kleikamp </t>
  </si>
  <si>
    <t>BAVM 117 </t>
  </si>
  <si>
    <t>2452527.6670 </t>
  </si>
  <si>
    <t> 10.09.2002 04:00 </t>
  </si>
  <si>
    <t> -0.0010 </t>
  </si>
  <si>
    <t> S.Dvorak </t>
  </si>
  <si>
    <t>IBVS 5378 </t>
  </si>
  <si>
    <t>2452875.1160 </t>
  </si>
  <si>
    <t> 23.08.2003 14:47 </t>
  </si>
  <si>
    <t> -0.0040 </t>
  </si>
  <si>
    <t> K.Nagai </t>
  </si>
  <si>
    <t>VSB 42 </t>
  </si>
  <si>
    <t>2453285.0808 </t>
  </si>
  <si>
    <t> 06.10.2004 13:56 </t>
  </si>
  <si>
    <t> 0.0043 </t>
  </si>
  <si>
    <t>VSB 43 </t>
  </si>
  <si>
    <t>2453301.0089 </t>
  </si>
  <si>
    <t> 22.10.2004 12:12 </t>
  </si>
  <si>
    <t> -0.0001 </t>
  </si>
  <si>
    <t>2453312.9706 </t>
  </si>
  <si>
    <t> 03.11.2004 11:17 </t>
  </si>
  <si>
    <t> 0.0122 </t>
  </si>
  <si>
    <t>2454005.7181 </t>
  </si>
  <si>
    <t> 27.09.2006 05:14 </t>
  </si>
  <si>
    <t> 0.0006 </t>
  </si>
  <si>
    <t>C </t>
  </si>
  <si>
    <t>-I</t>
  </si>
  <si>
    <t> W.Ogloza et al. </t>
  </si>
  <si>
    <t>IBVS 5843 </t>
  </si>
  <si>
    <t>2454016.1333 </t>
  </si>
  <si>
    <t> 07.10.2006 15:11 </t>
  </si>
  <si>
    <t>1167</t>
  </si>
  <si>
    <t> -0.0016 </t>
  </si>
  <si>
    <t> K.Nagai et al. </t>
  </si>
  <si>
    <t>VSB 45 </t>
  </si>
  <si>
    <t>2454028.7013 </t>
  </si>
  <si>
    <t> 20.10.2006 04:49 </t>
  </si>
  <si>
    <t>1187.5</t>
  </si>
  <si>
    <t> 0.0042 </t>
  </si>
  <si>
    <t>2454059.9562 </t>
  </si>
  <si>
    <t> 20.11.2006 10:56 </t>
  </si>
  <si>
    <t>1238.5</t>
  </si>
  <si>
    <t> 0.0068 </t>
  </si>
  <si>
    <t>2454719.0587 </t>
  </si>
  <si>
    <t> 09.09.2008 13:24 </t>
  </si>
  <si>
    <t>2314</t>
  </si>
  <si>
    <t> 0.0536 </t>
  </si>
  <si>
    <t>Rc</t>
  </si>
  <si>
    <t>VSB 48 </t>
  </si>
  <si>
    <t>2455453.1351 </t>
  </si>
  <si>
    <t> 13.09.2010 15:14 </t>
  </si>
  <si>
    <t>3512</t>
  </si>
  <si>
    <t> 0.0076 </t>
  </si>
  <si>
    <t> K.Shiokawa </t>
  </si>
  <si>
    <t>VSB 51 </t>
  </si>
  <si>
    <t>2455503.6954 </t>
  </si>
  <si>
    <t> 03.11.2010 04:41 </t>
  </si>
  <si>
    <t>3594.5</t>
  </si>
  <si>
    <t> 0.0127 </t>
  </si>
  <si>
    <t> R.Diethelm </t>
  </si>
  <si>
    <t>IBVS 5960 </t>
  </si>
  <si>
    <t>2456181.1345 </t>
  </si>
  <si>
    <t> 10.09.2012 15:13 </t>
  </si>
  <si>
    <t>4700</t>
  </si>
  <si>
    <t> 0.0125 </t>
  </si>
  <si>
    <t> H.Itoh </t>
  </si>
  <si>
    <t>VSB 55 </t>
  </si>
  <si>
    <t>s5</t>
  </si>
  <si>
    <t>s6</t>
  </si>
  <si>
    <t>s7</t>
  </si>
  <si>
    <t>Ic</t>
  </si>
  <si>
    <t>JAVSO..48…87</t>
  </si>
  <si>
    <t>JAVSO..48..256</t>
  </si>
  <si>
    <t>JAVSO 49, 256</t>
  </si>
  <si>
    <t>JAVSO, 49, 265</t>
  </si>
  <si>
    <t>VSB, 91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</si>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</sst>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8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0" fillId="0" borderId="0" xfId="0">
      <alignment vertical="top"/>
    </xf>
    <xf numFmtId="0" fontId="9" fillId="0" borderId="0" xfId="0" applyFont="1" applyAlignment="1"/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14" fontId="15" fillId="0" borderId="0" xfId="0" applyNumberFormat="1" applyFont="1" applyAlignment="1"/>
    <xf numFmtId="0" fontId="15" fillId="0" borderId="0" xfId="0" applyFont="1">
      <alignment vertical="top"/>
    </xf>
    <xf numFmtId="0" fontId="10" fillId="0" borderId="0" xfId="0" applyFont="1" applyAlignment="1"/>
    <xf numFmtId="0" fontId="15" fillId="0" borderId="0" xfId="0" applyFont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/>
    </xf>
    <xf numFmtId="0" fontId="13" fillId="0" borderId="0" xfId="0" applyFont="1" applyAlignment="1"/>
    <xf numFmtId="0" fontId="17" fillId="0" borderId="0" xfId="0" applyFont="1" applyAlignment="1"/>
    <xf numFmtId="0" fontId="5" fillId="0" borderId="0" xfId="0" applyFont="1">
      <alignment vertical="top"/>
    </xf>
    <xf numFmtId="0" fontId="17" fillId="0" borderId="1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165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6" fontId="36" fillId="0" borderId="0" xfId="0" applyNumberFormat="1" applyFont="1" applyAlignment="1">
      <alignment horizontal="left" vertical="center" wrapText="1"/>
    </xf>
    <xf numFmtId="166" fontId="36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4723926380368099"/>
          <c:w val="0.79255456379267053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44-47C5-AB08-8D5D622E9C0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44-47C5-AB08-8D5D622E9C0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44-47C5-AB08-8D5D622E9C0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  <c:pt idx="40">
                  <c:v>9.9665500005357899E-2</c:v>
                </c:pt>
                <c:pt idx="41">
                  <c:v>9.2772000105469488E-2</c:v>
                </c:pt>
                <c:pt idx="42">
                  <c:v>9.8772000157623552E-2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44-47C5-AB08-8D5D622E9C0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44-47C5-AB08-8D5D622E9C0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44-47C5-AB08-8D5D622E9C0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44-47C5-AB08-8D5D622E9C0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-9.4124430952402971E-2</c:v>
                </c:pt>
                <c:pt idx="7">
                  <c:v>-9.2686245825302271E-2</c:v>
                </c:pt>
                <c:pt idx="8">
                  <c:v>-8.4857942690288068E-2</c:v>
                </c:pt>
                <c:pt idx="9">
                  <c:v>-8.4857942690288068E-2</c:v>
                </c:pt>
                <c:pt idx="10">
                  <c:v>-7.3924467121760873E-2</c:v>
                </c:pt>
                <c:pt idx="11">
                  <c:v>-7.3924467121760873E-2</c:v>
                </c:pt>
                <c:pt idx="12">
                  <c:v>-7.3499548788753866E-2</c:v>
                </c:pt>
                <c:pt idx="13">
                  <c:v>-7.3499548788753866E-2</c:v>
                </c:pt>
                <c:pt idx="14">
                  <c:v>-7.3180860038998596E-2</c:v>
                </c:pt>
                <c:pt idx="15">
                  <c:v>-7.3180860038998596E-2</c:v>
                </c:pt>
                <c:pt idx="16">
                  <c:v>-5.4705084059596565E-2</c:v>
                </c:pt>
                <c:pt idx="17">
                  <c:v>-5.4427252841861173E-2</c:v>
                </c:pt>
                <c:pt idx="18">
                  <c:v>-5.4092221079297953E-2</c:v>
                </c:pt>
                <c:pt idx="19">
                  <c:v>-5.3258727426091834E-2</c:v>
                </c:pt>
                <c:pt idx="20">
                  <c:v>-3.5681817151127782E-2</c:v>
                </c:pt>
                <c:pt idx="21">
                  <c:v>-2.5099716357971813E-2</c:v>
                </c:pt>
                <c:pt idx="22">
                  <c:v>-1.6102887807188271E-2</c:v>
                </c:pt>
                <c:pt idx="23">
                  <c:v>-1.4754589250531358E-2</c:v>
                </c:pt>
                <c:pt idx="24">
                  <c:v>-1.4754589250531358E-2</c:v>
                </c:pt>
                <c:pt idx="25">
                  <c:v>3.3126114086716174E-3</c:v>
                </c:pt>
                <c:pt idx="26">
                  <c:v>3.410284753887366E-2</c:v>
                </c:pt>
                <c:pt idx="27">
                  <c:v>5.2407021883792038E-2</c:v>
                </c:pt>
                <c:pt idx="28">
                  <c:v>5.3224172524190205E-2</c:v>
                </c:pt>
                <c:pt idx="29">
                  <c:v>5.4049494670992293E-2</c:v>
                </c:pt>
                <c:pt idx="30">
                  <c:v>6.2327230658225485E-2</c:v>
                </c:pt>
                <c:pt idx="31">
                  <c:v>6.2327230658225485E-2</c:v>
                </c:pt>
                <c:pt idx="32">
                  <c:v>6.2327230658225485E-2</c:v>
                </c:pt>
                <c:pt idx="33">
                  <c:v>7.2827616387341587E-2</c:v>
                </c:pt>
                <c:pt idx="34">
                  <c:v>7.2852130906553625E-2</c:v>
                </c:pt>
                <c:pt idx="35">
                  <c:v>8.2028732598224741E-2</c:v>
                </c:pt>
                <c:pt idx="36">
                  <c:v>8.2028732598224741E-2</c:v>
                </c:pt>
                <c:pt idx="37">
                  <c:v>8.9562861502695656E-2</c:v>
                </c:pt>
                <c:pt idx="38">
                  <c:v>8.9562861502695656E-2</c:v>
                </c:pt>
                <c:pt idx="39">
                  <c:v>9.1524023039651126E-2</c:v>
                </c:pt>
                <c:pt idx="40">
                  <c:v>0.1012317726475811</c:v>
                </c:pt>
                <c:pt idx="41">
                  <c:v>0.10123994415398507</c:v>
                </c:pt>
                <c:pt idx="42">
                  <c:v>0.10123994415398507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44-47C5-AB08-8D5D622E9C0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44-47C5-AB08-8D5D622E9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287328"/>
        <c:axId val="1"/>
      </c:scatterChart>
      <c:valAx>
        <c:axId val="840287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287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29805848736992"/>
          <c:y val="0.92024539877300615"/>
          <c:w val="0.820923474991158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62477558348294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99461400359066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2B-4BEE-A22A-743E89F0FF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1">
                  <c:v>-2.5055000005522743E-3</c:v>
                </c:pt>
                <c:pt idx="2">
                  <c:v>-2.5055000005522743E-3</c:v>
                </c:pt>
                <c:pt idx="3">
                  <c:v>-3.7870000014663674E-3</c:v>
                </c:pt>
                <c:pt idx="4">
                  <c:v>1.0596000000077765E-2</c:v>
                </c:pt>
                <c:pt idx="9">
                  <c:v>-1.4658999993116595E-2</c:v>
                </c:pt>
                <c:pt idx="10">
                  <c:v>-4.3619999923976138E-3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2B-4BEE-A22A-743E89F0FF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">
                  <c:v>-1.1631999994278885E-2</c:v>
                </c:pt>
                <c:pt idx="6">
                  <c:v>-1.3429999991785735E-2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2B-4BEE-A22A-743E89F0FF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">
                  <c:v>-1.3185999996494502E-2</c:v>
                </c:pt>
                <c:pt idx="13">
                  <c:v>-8.7239999993471429E-3</c:v>
                </c:pt>
                <c:pt idx="14">
                  <c:v>3.629500002716668E-3</c:v>
                </c:pt>
                <c:pt idx="16">
                  <c:v>-4.5739999986835755E-3</c:v>
                </c:pt>
                <c:pt idx="17">
                  <c:v>-6.7529999942053109E-3</c:v>
                </c:pt>
                <c:pt idx="18">
                  <c:v>-8.8649999815970659E-4</c:v>
                </c:pt>
                <c:pt idx="19">
                  <c:v>1.8765000058920123E-3</c:v>
                </c:pt>
                <c:pt idx="21">
                  <c:v>9.9755000046570785E-3</c:v>
                </c:pt>
                <c:pt idx="22">
                  <c:v>9.5320000036736019E-3</c:v>
                </c:pt>
                <c:pt idx="23">
                  <c:v>1.4904499999829568E-2</c:v>
                </c:pt>
                <c:pt idx="24">
                  <c:v>1.4904499999829568E-2</c:v>
                </c:pt>
                <c:pt idx="25">
                  <c:v>1.7976000002818182E-2</c:v>
                </c:pt>
                <c:pt idx="26">
                  <c:v>4.1168000003381167E-2</c:v>
                </c:pt>
                <c:pt idx="27">
                  <c:v>4.8328000004403293E-2</c:v>
                </c:pt>
                <c:pt idx="28">
                  <c:v>5.3578000006382354E-2</c:v>
                </c:pt>
                <c:pt idx="29">
                  <c:v>5.913449999934528E-2</c:v>
                </c:pt>
                <c:pt idx="30">
                  <c:v>6.0618999887083191E-2</c:v>
                </c:pt>
                <c:pt idx="31">
                  <c:v>6.1619000050995965E-2</c:v>
                </c:pt>
                <c:pt idx="32">
                  <c:v>6.1619000050995965E-2</c:v>
                </c:pt>
                <c:pt idx="33">
                  <c:v>7.2671499998250511E-2</c:v>
                </c:pt>
                <c:pt idx="34">
                  <c:v>7.1291000000201166E-2</c:v>
                </c:pt>
                <c:pt idx="35">
                  <c:v>7.7090500002668705E-2</c:v>
                </c:pt>
                <c:pt idx="36">
                  <c:v>7.7090500002668705E-2</c:v>
                </c:pt>
                <c:pt idx="37">
                  <c:v>0.10208350005268585</c:v>
                </c:pt>
                <c:pt idx="38">
                  <c:v>0.10308350021659862</c:v>
                </c:pt>
                <c:pt idx="39">
                  <c:v>9.1343500003858935E-2</c:v>
                </c:pt>
                <c:pt idx="40">
                  <c:v>9.9665500005357899E-2</c:v>
                </c:pt>
                <c:pt idx="41">
                  <c:v>9.2772000105469488E-2</c:v>
                </c:pt>
                <c:pt idx="42">
                  <c:v>9.8772000157623552E-2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2B-4BEE-A22A-743E89F0FF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2B-4BEE-A22A-743E89F0FF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2B-4BEE-A22A-743E89F0FF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5.9999999999999995E-4</c:v>
                  </c:pt>
                  <c:pt idx="9">
                    <c:v>0</c:v>
                  </c:pt>
                  <c:pt idx="10">
                    <c:v>0</c:v>
                  </c:pt>
                  <c:pt idx="13">
                    <c:v>0</c:v>
                  </c:pt>
                  <c:pt idx="14">
                    <c:v>0</c:v>
                  </c:pt>
                  <c:pt idx="16">
                    <c:v>2.7000000000000001E-3</c:v>
                  </c:pt>
                  <c:pt idx="17">
                    <c:v>0</c:v>
                  </c:pt>
                  <c:pt idx="18">
                    <c:v>1.6000000000000001E-3</c:v>
                  </c:pt>
                  <c:pt idx="19">
                    <c:v>0</c:v>
                  </c:pt>
                  <c:pt idx="20">
                    <c:v>0</c:v>
                  </c:pt>
                  <c:pt idx="21">
                    <c:v>8.9999999999999998E-4</c:v>
                  </c:pt>
                  <c:pt idx="22">
                    <c:v>0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0</c:v>
                  </c:pt>
                  <c:pt idx="26">
                    <c:v>2.0000000000000001E-4</c:v>
                  </c:pt>
                  <c:pt idx="27">
                    <c:v>0</c:v>
                  </c:pt>
                  <c:pt idx="28">
                    <c:v>2.0000000000000001E-4</c:v>
                  </c:pt>
                  <c:pt idx="29">
                    <c:v>2.9999999999999997E-4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1E-4</c:v>
                  </c:pt>
                  <c:pt idx="36">
                    <c:v>1E-4</c:v>
                  </c:pt>
                  <c:pt idx="39">
                    <c:v>5.9999999999999995E-4</c:v>
                  </c:pt>
                  <c:pt idx="4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2B-4BEE-A22A-743E89F0FF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6">
                  <c:v>-9.4124430952402971E-2</c:v>
                </c:pt>
                <c:pt idx="7">
                  <c:v>-9.2686245825302271E-2</c:v>
                </c:pt>
                <c:pt idx="8">
                  <c:v>-8.4857942690288068E-2</c:v>
                </c:pt>
                <c:pt idx="9">
                  <c:v>-8.4857942690288068E-2</c:v>
                </c:pt>
                <c:pt idx="10">
                  <c:v>-7.3924467121760873E-2</c:v>
                </c:pt>
                <c:pt idx="11">
                  <c:v>-7.3924467121760873E-2</c:v>
                </c:pt>
                <c:pt idx="12">
                  <c:v>-7.3499548788753866E-2</c:v>
                </c:pt>
                <c:pt idx="13">
                  <c:v>-7.3499548788753866E-2</c:v>
                </c:pt>
                <c:pt idx="14">
                  <c:v>-7.3180860038998596E-2</c:v>
                </c:pt>
                <c:pt idx="15">
                  <c:v>-7.3180860038998596E-2</c:v>
                </c:pt>
                <c:pt idx="16">
                  <c:v>-5.4705084059596565E-2</c:v>
                </c:pt>
                <c:pt idx="17">
                  <c:v>-5.4427252841861173E-2</c:v>
                </c:pt>
                <c:pt idx="18">
                  <c:v>-5.4092221079297953E-2</c:v>
                </c:pt>
                <c:pt idx="19">
                  <c:v>-5.3258727426091834E-2</c:v>
                </c:pt>
                <c:pt idx="20">
                  <c:v>-3.5681817151127782E-2</c:v>
                </c:pt>
                <c:pt idx="21">
                  <c:v>-2.5099716357971813E-2</c:v>
                </c:pt>
                <c:pt idx="22">
                  <c:v>-1.6102887807188271E-2</c:v>
                </c:pt>
                <c:pt idx="23">
                  <c:v>-1.4754589250531358E-2</c:v>
                </c:pt>
                <c:pt idx="24">
                  <c:v>-1.4754589250531358E-2</c:v>
                </c:pt>
                <c:pt idx="25">
                  <c:v>3.3126114086716174E-3</c:v>
                </c:pt>
                <c:pt idx="26">
                  <c:v>3.410284753887366E-2</c:v>
                </c:pt>
                <c:pt idx="27">
                  <c:v>5.2407021883792038E-2</c:v>
                </c:pt>
                <c:pt idx="28">
                  <c:v>5.3224172524190205E-2</c:v>
                </c:pt>
                <c:pt idx="29">
                  <c:v>5.4049494670992293E-2</c:v>
                </c:pt>
                <c:pt idx="30">
                  <c:v>6.2327230658225485E-2</c:v>
                </c:pt>
                <c:pt idx="31">
                  <c:v>6.2327230658225485E-2</c:v>
                </c:pt>
                <c:pt idx="32">
                  <c:v>6.2327230658225485E-2</c:v>
                </c:pt>
                <c:pt idx="33">
                  <c:v>7.2827616387341587E-2</c:v>
                </c:pt>
                <c:pt idx="34">
                  <c:v>7.2852130906553625E-2</c:v>
                </c:pt>
                <c:pt idx="35">
                  <c:v>8.2028732598224741E-2</c:v>
                </c:pt>
                <c:pt idx="36">
                  <c:v>8.2028732598224741E-2</c:v>
                </c:pt>
                <c:pt idx="37">
                  <c:v>8.9562861502695656E-2</c:v>
                </c:pt>
                <c:pt idx="38">
                  <c:v>8.9562861502695656E-2</c:v>
                </c:pt>
                <c:pt idx="39">
                  <c:v>9.1524023039651126E-2</c:v>
                </c:pt>
                <c:pt idx="40">
                  <c:v>0.1012317726475811</c:v>
                </c:pt>
                <c:pt idx="41">
                  <c:v>0.10123994415398507</c:v>
                </c:pt>
                <c:pt idx="42">
                  <c:v>0.10123994415398507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2B-4BEE-A22A-743E89F0FF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C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2976.5</c:v>
                </c:pt>
                <c:pt idx="2">
                  <c:v>2976.5</c:v>
                </c:pt>
                <c:pt idx="3">
                  <c:v>3001</c:v>
                </c:pt>
                <c:pt idx="4">
                  <c:v>3092</c:v>
                </c:pt>
                <c:pt idx="5">
                  <c:v>17936</c:v>
                </c:pt>
                <c:pt idx="6">
                  <c:v>20890</c:v>
                </c:pt>
                <c:pt idx="7">
                  <c:v>20978</c:v>
                </c:pt>
                <c:pt idx="8">
                  <c:v>21457</c:v>
                </c:pt>
                <c:pt idx="9">
                  <c:v>21457</c:v>
                </c:pt>
                <c:pt idx="10">
                  <c:v>22126</c:v>
                </c:pt>
                <c:pt idx="11">
                  <c:v>22126</c:v>
                </c:pt>
                <c:pt idx="12">
                  <c:v>22152</c:v>
                </c:pt>
                <c:pt idx="13">
                  <c:v>22152</c:v>
                </c:pt>
                <c:pt idx="14">
                  <c:v>22171.5</c:v>
                </c:pt>
                <c:pt idx="15">
                  <c:v>22171.5</c:v>
                </c:pt>
                <c:pt idx="16">
                  <c:v>23302</c:v>
                </c:pt>
                <c:pt idx="17">
                  <c:v>23319</c:v>
                </c:pt>
                <c:pt idx="18">
                  <c:v>23339.5</c:v>
                </c:pt>
                <c:pt idx="19">
                  <c:v>23390.5</c:v>
                </c:pt>
                <c:pt idx="20">
                  <c:v>24466</c:v>
                </c:pt>
                <c:pt idx="21">
                  <c:v>25113.5</c:v>
                </c:pt>
                <c:pt idx="22">
                  <c:v>25664</c:v>
                </c:pt>
                <c:pt idx="23">
                  <c:v>25746.5</c:v>
                </c:pt>
                <c:pt idx="24">
                  <c:v>25746.5</c:v>
                </c:pt>
                <c:pt idx="25">
                  <c:v>26852</c:v>
                </c:pt>
                <c:pt idx="26">
                  <c:v>28736</c:v>
                </c:pt>
                <c:pt idx="27">
                  <c:v>29856</c:v>
                </c:pt>
                <c:pt idx="28">
                  <c:v>29906</c:v>
                </c:pt>
                <c:pt idx="29">
                  <c:v>29956.5</c:v>
                </c:pt>
                <c:pt idx="30">
                  <c:v>30463</c:v>
                </c:pt>
                <c:pt idx="31">
                  <c:v>30463</c:v>
                </c:pt>
                <c:pt idx="32">
                  <c:v>30463</c:v>
                </c:pt>
                <c:pt idx="33">
                  <c:v>31105.5</c:v>
                </c:pt>
                <c:pt idx="34">
                  <c:v>31107</c:v>
                </c:pt>
                <c:pt idx="35">
                  <c:v>31668.5</c:v>
                </c:pt>
                <c:pt idx="36">
                  <c:v>31668.5</c:v>
                </c:pt>
                <c:pt idx="37">
                  <c:v>32129.5</c:v>
                </c:pt>
                <c:pt idx="38">
                  <c:v>32129.5</c:v>
                </c:pt>
                <c:pt idx="39">
                  <c:v>32249.5</c:v>
                </c:pt>
                <c:pt idx="40">
                  <c:v>32843.5</c:v>
                </c:pt>
                <c:pt idx="41">
                  <c:v>32844</c:v>
                </c:pt>
                <c:pt idx="42">
                  <c:v>32844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8">
                  <c:v>-7.9500000079860911E-2</c:v>
                </c:pt>
                <c:pt idx="11">
                  <c:v>0.10148500011564465</c:v>
                </c:pt>
                <c:pt idx="12">
                  <c:v>9.1844999784370884E-2</c:v>
                </c:pt>
                <c:pt idx="15">
                  <c:v>0.10024000011617318</c:v>
                </c:pt>
                <c:pt idx="20">
                  <c:v>5.195800000365125E-2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2B-4BEE-A22A-743E89F0F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26104"/>
        <c:axId val="1"/>
      </c:scatterChart>
      <c:valAx>
        <c:axId val="800626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26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64991023339318"/>
          <c:y val="0.92024539877300615"/>
          <c:w val="0.831238779174147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Aqr - O-C Diagr.</a:t>
            </a:r>
          </a:p>
        </c:rich>
      </c:tx>
      <c:layout>
        <c:manualLayout>
          <c:xMode val="edge"/>
          <c:yMode val="edge"/>
          <c:x val="0.3670218350365778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8253352610663"/>
          <c:y val="0.15"/>
          <c:w val="0.79255456379267053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495-82E5-BA157918E30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">
                  <c:v>6.2550000002374873E-3</c:v>
                </c:pt>
                <c:pt idx="2">
                  <c:v>6.2550000002374873E-3</c:v>
                </c:pt>
                <c:pt idx="3">
                  <c:v>0</c:v>
                </c:pt>
                <c:pt idx="4">
                  <c:v>-4.0900000021792948E-3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4-4495-82E5-BA157918E30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5">
                  <c:v>2.5300000001152512E-2</c:v>
                </c:pt>
                <c:pt idx="6">
                  <c:v>3.6830000004556496E-2</c:v>
                </c:pt>
                <c:pt idx="11">
                  <c:v>-0.13745500000368338</c:v>
                </c:pt>
                <c:pt idx="12">
                  <c:v>-0.14138000000093598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4-4495-82E5-BA157918E30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VS Bull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7">
                  <c:v>-7.9500000079860911E-2</c:v>
                </c:pt>
                <c:pt idx="8">
                  <c:v>0.10148500011564465</c:v>
                </c:pt>
                <c:pt idx="9">
                  <c:v>9.1844999784370884E-2</c:v>
                </c:pt>
                <c:pt idx="10">
                  <c:v>0.10024000011617318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E4-4495-82E5-BA157918E30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E4-4495-82E5-BA157918E30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E4-4495-82E5-BA157918E30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11">
                    <c:v>2.7000000000000001E-3</c:v>
                  </c:pt>
                  <c:pt idx="1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E4-4495-82E5-BA157918E30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2975.5</c:v>
                </c:pt>
                <c:pt idx="2">
                  <c:v>2975.5</c:v>
                </c:pt>
                <c:pt idx="3">
                  <c:v>3000</c:v>
                </c:pt>
                <c:pt idx="4">
                  <c:v>3091</c:v>
                </c:pt>
                <c:pt idx="5">
                  <c:v>17930</c:v>
                </c:pt>
                <c:pt idx="6">
                  <c:v>20883</c:v>
                </c:pt>
                <c:pt idx="7">
                  <c:v>21450</c:v>
                </c:pt>
                <c:pt idx="8">
                  <c:v>22118.5</c:v>
                </c:pt>
                <c:pt idx="9">
                  <c:v>22144.5</c:v>
                </c:pt>
                <c:pt idx="10">
                  <c:v>22164</c:v>
                </c:pt>
                <c:pt idx="11">
                  <c:v>23294.5</c:v>
                </c:pt>
                <c:pt idx="12">
                  <c:v>23332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1.6207624422637172E-2</c:v>
                </c:pt>
                <c:pt idx="1">
                  <c:v>5.3975312692917561E-3</c:v>
                </c:pt>
                <c:pt idx="2">
                  <c:v>5.3975312692917561E-3</c:v>
                </c:pt>
                <c:pt idx="3">
                  <c:v>5.3085219322872319E-3</c:v>
                </c:pt>
                <c:pt idx="4">
                  <c:v>4.9779158234132832E-3</c:v>
                </c:pt>
                <c:pt idx="5">
                  <c:v>-4.8932678128020969E-2</c:v>
                </c:pt>
                <c:pt idx="6">
                  <c:v>-5.9661028012688765E-2</c:v>
                </c:pt>
                <c:pt idx="7">
                  <c:v>-6.1720958383364895E-2</c:v>
                </c:pt>
                <c:pt idx="8">
                  <c:v>-6.4149641721631206E-2</c:v>
                </c:pt>
                <c:pt idx="9">
                  <c:v>-6.4244100609880922E-2</c:v>
                </c:pt>
                <c:pt idx="10">
                  <c:v>-6.4314944776068195E-2</c:v>
                </c:pt>
                <c:pt idx="11">
                  <c:v>-6.8422089897848398E-2</c:v>
                </c:pt>
                <c:pt idx="12">
                  <c:v>-6.8558328678977765E-2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4-4495-82E5-BA157918E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310616"/>
        <c:axId val="1"/>
      </c:scatterChart>
      <c:valAx>
        <c:axId val="8403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3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92926416112879"/>
          <c:y val="0.91874999999999996"/>
          <c:w val="0.8758880139982501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47625</xdr:rowOff>
    </xdr:from>
    <xdr:to>
      <xdr:col>15</xdr:col>
      <xdr:colOff>28575</xdr:colOff>
      <xdr:row>18</xdr:row>
      <xdr:rowOff>66675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0A694841-819E-231A-0071-69145D770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0</xdr:row>
      <xdr:rowOff>0</xdr:rowOff>
    </xdr:from>
    <xdr:to>
      <xdr:col>23</xdr:col>
      <xdr:colOff>476250</xdr:colOff>
      <xdr:row>18</xdr:row>
      <xdr:rowOff>19050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8B2F5B78-C0B5-4132-9510-A5D45AA43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0</xdr:row>
      <xdr:rowOff>133350</xdr:rowOff>
    </xdr:from>
    <xdr:to>
      <xdr:col>17</xdr:col>
      <xdr:colOff>47625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5B384DE-097B-E05B-AE04-C2A59ABEFE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5.pdf" TargetMode="External"/><Relationship Id="rId13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5378" TargetMode="External"/><Relationship Id="rId1" Type="http://schemas.openxmlformats.org/officeDocument/2006/relationships/hyperlink" Target="http://www.bav-astro.de/sfs/BAVM_link.php?BAVMnr=117" TargetMode="External"/><Relationship Id="rId6" Type="http://schemas.openxmlformats.org/officeDocument/2006/relationships/hyperlink" Target="http://vsolj.cetus-net.org/no43.pdf" TargetMode="External"/><Relationship Id="rId11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3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vsolj.cetus-net.org/no45.pdf" TargetMode="External"/><Relationship Id="rId4" Type="http://schemas.openxmlformats.org/officeDocument/2006/relationships/hyperlink" Target="http://vsolj.cetus-net.org/no43.pdf" TargetMode="External"/><Relationship Id="rId9" Type="http://schemas.openxmlformats.org/officeDocument/2006/relationships/hyperlink" Target="http://www.konkoly.hu/cgi-bin/IBVS?5843" TargetMode="External"/><Relationship Id="rId14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276"/>
  <sheetViews>
    <sheetView tabSelected="1" workbookViewId="0">
      <pane xSplit="14" ySplit="21" topLeftCell="O47" activePane="bottomRight" state="frozen"/>
      <selection pane="topRight" activeCell="O1" sqref="O1"/>
      <selection pane="bottomLeft" activeCell="A22" sqref="A22"/>
      <selection pane="bottomRight" activeCell="F11" sqref="F10:F11"/>
    </sheetView>
  </sheetViews>
  <sheetFormatPr defaultColWidth="10.28515625" defaultRowHeight="12.75" x14ac:dyDescent="0.2"/>
  <cols>
    <col min="1" max="1" width="16.140625" customWidth="1"/>
    <col min="2" max="2" width="5.140625" style="4" customWidth="1"/>
    <col min="3" max="3" width="11.85546875" customWidth="1"/>
    <col min="4" max="4" width="9.42578125" customWidth="1"/>
    <col min="5" max="5" width="9.8554687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  <c r="D1" s="9"/>
    </row>
    <row r="2" spans="1:6" x14ac:dyDescent="0.2">
      <c r="A2" t="s">
        <v>28</v>
      </c>
      <c r="B2" s="12" t="s">
        <v>44</v>
      </c>
    </row>
    <row r="3" spans="1:6" ht="13.5" thickBot="1" x14ac:dyDescent="0.25">
      <c r="A3" s="37" t="s">
        <v>54</v>
      </c>
    </row>
    <row r="4" spans="1:6" ht="14.25" thickTop="1" thickBot="1" x14ac:dyDescent="0.25">
      <c r="A4" s="6" t="s">
        <v>4</v>
      </c>
      <c r="C4" s="2">
        <v>39726.559999999998</v>
      </c>
      <c r="D4" s="3">
        <v>0.61299000000000003</v>
      </c>
    </row>
    <row r="5" spans="1:6" ht="13.5" thickTop="1" x14ac:dyDescent="0.2">
      <c r="A5" s="13" t="s">
        <v>46</v>
      </c>
      <c r="B5" s="10"/>
      <c r="C5" s="14">
        <v>-9.5</v>
      </c>
      <c r="D5" s="10" t="s">
        <v>47</v>
      </c>
    </row>
    <row r="6" spans="1:6" x14ac:dyDescent="0.2">
      <c r="A6" s="6" t="s">
        <v>5</v>
      </c>
    </row>
    <row r="7" spans="1:6" x14ac:dyDescent="0.2">
      <c r="A7" t="s">
        <v>6</v>
      </c>
      <c r="C7">
        <v>39726.559999999998</v>
      </c>
    </row>
    <row r="8" spans="1:6" x14ac:dyDescent="0.2">
      <c r="A8" t="s">
        <v>7</v>
      </c>
      <c r="C8">
        <v>0.61278699999999997</v>
      </c>
    </row>
    <row r="9" spans="1:6" x14ac:dyDescent="0.2">
      <c r="A9" s="27" t="s">
        <v>52</v>
      </c>
      <c r="B9" s="28">
        <v>48</v>
      </c>
      <c r="C9" s="16" t="str">
        <f>"F"&amp;B9</f>
        <v>F48</v>
      </c>
      <c r="D9" s="11" t="str">
        <f>"G"&amp;B9</f>
        <v>G48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15">
        <f ca="1">INTERCEPT(INDIRECT($D$9):G990,INDIRECT($C$9):F990)</f>
        <v>-0.43552996851074721</v>
      </c>
      <c r="D11" s="4"/>
      <c r="E11" s="10"/>
    </row>
    <row r="12" spans="1:6" x14ac:dyDescent="0.2">
      <c r="A12" s="10" t="s">
        <v>21</v>
      </c>
      <c r="B12" s="10"/>
      <c r="C12" s="15">
        <f ca="1">SLOPE(INDIRECT($D$9):G990,INDIRECT($C$9):F990)</f>
        <v>1.6343012807962863E-5</v>
      </c>
      <c r="D12" s="4"/>
      <c r="E12" s="10"/>
    </row>
    <row r="13" spans="1:6" x14ac:dyDescent="0.2">
      <c r="A13" s="10" t="s">
        <v>23</v>
      </c>
      <c r="B13" s="10"/>
      <c r="C13" s="4" t="s">
        <v>18</v>
      </c>
    </row>
    <row r="14" spans="1:6" x14ac:dyDescent="0.2">
      <c r="A14" s="10"/>
      <c r="B14" s="10"/>
      <c r="C14" s="10"/>
    </row>
    <row r="15" spans="1:6" x14ac:dyDescent="0.2">
      <c r="A15" s="17" t="s">
        <v>22</v>
      </c>
      <c r="B15" s="10"/>
      <c r="C15" s="18">
        <f ca="1">(C7+C11)+(C8+C12)*INT(MAX(F21:F3531))</f>
        <v>59853.037467944145</v>
      </c>
      <c r="E15" s="19" t="s">
        <v>56</v>
      </c>
      <c r="F15" s="14">
        <v>1</v>
      </c>
    </row>
    <row r="16" spans="1:6" x14ac:dyDescent="0.2">
      <c r="A16" s="21" t="s">
        <v>8</v>
      </c>
      <c r="B16" s="10"/>
      <c r="C16" s="22">
        <f ca="1">+C8+C12</f>
        <v>0.61280334301280792</v>
      </c>
      <c r="E16" s="19" t="s">
        <v>48</v>
      </c>
      <c r="F16" s="20">
        <f ca="1">NOW()+15018.5+$C$5/24</f>
        <v>60320.783570601852</v>
      </c>
    </row>
    <row r="17" spans="1:30" ht="13.5" thickBot="1" x14ac:dyDescent="0.25">
      <c r="A17" s="19" t="s">
        <v>43</v>
      </c>
      <c r="B17" s="10"/>
      <c r="C17" s="10">
        <f>COUNT(C21:C2189)</f>
        <v>43</v>
      </c>
      <c r="E17" s="19" t="s">
        <v>57</v>
      </c>
      <c r="F17" s="20">
        <f ca="1">ROUND(2*(F16-$C$7)/$C$8,0)/2+F15</f>
        <v>33608.5</v>
      </c>
    </row>
    <row r="18" spans="1:30" ht="14.25" thickTop="1" thickBot="1" x14ac:dyDescent="0.25">
      <c r="A18" s="21" t="s">
        <v>9</v>
      </c>
      <c r="B18" s="10"/>
      <c r="C18" s="24">
        <f ca="1">+C15</f>
        <v>59853.037467944145</v>
      </c>
      <c r="D18" s="25">
        <f ca="1">+C16</f>
        <v>0.61280334301280792</v>
      </c>
      <c r="E18" s="19" t="s">
        <v>49</v>
      </c>
      <c r="F18" s="11">
        <f ca="1">ROUND(2*(F16-$C$15)/$C$16,0)/2+F15</f>
        <v>764.5</v>
      </c>
    </row>
    <row r="19" spans="1:30" ht="13.5" thickTop="1" x14ac:dyDescent="0.2">
      <c r="E19" s="19" t="s">
        <v>50</v>
      </c>
      <c r="F19" s="23">
        <f ca="1">+$C$15+$C$16*F18-15018.5-$C$5/24</f>
        <v>45303.421457010772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156</v>
      </c>
      <c r="M20" s="8" t="s">
        <v>157</v>
      </c>
      <c r="N20" s="8" t="s">
        <v>158</v>
      </c>
      <c r="O20" s="8" t="s">
        <v>27</v>
      </c>
      <c r="P20" s="7" t="s">
        <v>26</v>
      </c>
      <c r="Q20" s="5" t="s">
        <v>19</v>
      </c>
      <c r="U20" s="40" t="s">
        <v>60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60" si="0">+(C21-C$7)/C$8</f>
        <v>0</v>
      </c>
      <c r="F21" s="29">
        <f t="shared" ref="F21:F61" si="1">ROUND(2*E21,0)/2</f>
        <v>0</v>
      </c>
      <c r="G21" s="29">
        <f t="shared" ref="G21:G28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/>
      <c r="P21" s="29"/>
      <c r="Q21" s="31">
        <f t="shared" ref="Q21:Q60" si="3">+C21-15018.5</f>
        <v>24708.059999999998</v>
      </c>
      <c r="S21" s="29"/>
      <c r="U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2976.4959113035993</v>
      </c>
      <c r="F22" s="29">
        <f t="shared" si="1"/>
        <v>2976.5</v>
      </c>
      <c r="G22" s="29">
        <f t="shared" si="2"/>
        <v>-2.5055000005522743E-3</v>
      </c>
      <c r="H22" s="29"/>
      <c r="I22" s="29">
        <f>G22</f>
        <v>-2.5055000005522743E-3</v>
      </c>
      <c r="J22" s="29"/>
      <c r="K22" s="29"/>
      <c r="L22" s="29"/>
      <c r="M22" s="29"/>
      <c r="N22" s="29"/>
      <c r="O22" s="29"/>
      <c r="P22" s="29"/>
      <c r="Q22" s="31">
        <f t="shared" si="3"/>
        <v>26532.017999999996</v>
      </c>
      <c r="S22" s="29"/>
      <c r="U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2976.4959113035993</v>
      </c>
      <c r="F23" s="29">
        <f t="shared" si="1"/>
        <v>2976.5</v>
      </c>
      <c r="G23" s="29">
        <f t="shared" si="2"/>
        <v>-2.5055000005522743E-3</v>
      </c>
      <c r="H23" s="29"/>
      <c r="I23" s="29">
        <f>G23</f>
        <v>-2.5055000005522743E-3</v>
      </c>
      <c r="J23" s="29"/>
      <c r="K23" s="29"/>
      <c r="L23" s="29"/>
      <c r="M23" s="29"/>
      <c r="N23" s="29"/>
      <c r="O23" s="29"/>
      <c r="P23" s="29"/>
      <c r="Q23" s="31">
        <f t="shared" si="3"/>
        <v>26532.017999999996</v>
      </c>
      <c r="S23" s="29"/>
      <c r="U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3000.9938200386127</v>
      </c>
      <c r="F24" s="29">
        <f t="shared" si="1"/>
        <v>3001</v>
      </c>
      <c r="G24" s="29">
        <f t="shared" si="2"/>
        <v>-3.7870000014663674E-3</v>
      </c>
      <c r="H24" s="29"/>
      <c r="I24" s="29">
        <f>G24</f>
        <v>-3.7870000014663674E-3</v>
      </c>
      <c r="J24" s="29"/>
      <c r="K24" s="29"/>
      <c r="L24" s="29"/>
      <c r="M24" s="29"/>
      <c r="N24" s="29"/>
      <c r="O24" s="29"/>
      <c r="P24" s="29"/>
      <c r="Q24" s="31">
        <f t="shared" si="3"/>
        <v>26547.03</v>
      </c>
      <c r="S24" s="29"/>
      <c r="U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3092.0172914895384</v>
      </c>
      <c r="F25" s="29">
        <f t="shared" si="1"/>
        <v>3092</v>
      </c>
      <c r="G25" s="29">
        <f t="shared" si="2"/>
        <v>1.0596000000077765E-2</v>
      </c>
      <c r="H25" s="29"/>
      <c r="I25" s="29">
        <f>G25</f>
        <v>1.0596000000077765E-2</v>
      </c>
      <c r="J25" s="29"/>
      <c r="K25" s="29"/>
      <c r="L25" s="29"/>
      <c r="M25" s="29"/>
      <c r="N25" s="29"/>
      <c r="O25" s="29"/>
      <c r="P25" s="29"/>
      <c r="Q25" s="31">
        <f t="shared" si="3"/>
        <v>26602.807999999997</v>
      </c>
      <c r="S25" s="29"/>
      <c r="U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17935.981017874077</v>
      </c>
      <c r="F26" s="29">
        <f t="shared" si="1"/>
        <v>17936</v>
      </c>
      <c r="G26" s="29">
        <f t="shared" si="2"/>
        <v>-1.1631999994278885E-2</v>
      </c>
      <c r="H26" s="29"/>
      <c r="I26" s="29"/>
      <c r="J26" s="29">
        <f>G26</f>
        <v>-1.1631999994278885E-2</v>
      </c>
      <c r="K26" s="29"/>
      <c r="L26" s="29"/>
      <c r="M26" s="29"/>
      <c r="N26" s="29"/>
      <c r="O26" s="29"/>
      <c r="P26" s="29"/>
      <c r="Q26" s="31">
        <f t="shared" si="3"/>
        <v>35698.995999999999</v>
      </c>
      <c r="S26" s="29"/>
      <c r="U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20889.97808373873</v>
      </c>
      <c r="F27" s="29">
        <f t="shared" si="1"/>
        <v>20890</v>
      </c>
      <c r="G27" s="29">
        <f t="shared" si="2"/>
        <v>-1.3429999991785735E-2</v>
      </c>
      <c r="H27" s="29"/>
      <c r="I27" s="29"/>
      <c r="J27" s="29">
        <f>G27</f>
        <v>-1.3429999991785735E-2</v>
      </c>
      <c r="K27" s="29"/>
      <c r="L27" s="29"/>
      <c r="M27" s="29"/>
      <c r="N27" s="29"/>
      <c r="O27" s="29">
        <f t="shared" ref="O27:O60" ca="1" si="4">+C$11+C$12*F27</f>
        <v>-9.4124430952402971E-2</v>
      </c>
      <c r="P27" s="29"/>
      <c r="Q27" s="31">
        <f t="shared" si="3"/>
        <v>37509.167000000001</v>
      </c>
      <c r="S27" s="29"/>
      <c r="U27" s="29"/>
    </row>
    <row r="28" spans="1:30" x14ac:dyDescent="0.2">
      <c r="A28" s="62" t="s">
        <v>1</v>
      </c>
      <c r="B28" s="63" t="s">
        <v>38</v>
      </c>
      <c r="C28" s="64">
        <v>52581.592499999999</v>
      </c>
      <c r="D28" s="64">
        <v>5.9999999999999995E-4</v>
      </c>
      <c r="E28" s="29">
        <f t="shared" si="0"/>
        <v>20977.978481919494</v>
      </c>
      <c r="F28" s="29">
        <f t="shared" si="1"/>
        <v>20978</v>
      </c>
      <c r="G28" s="29">
        <f t="shared" si="2"/>
        <v>-1.3185999996494502E-2</v>
      </c>
      <c r="H28" s="29"/>
      <c r="I28" s="29"/>
      <c r="K28" s="29">
        <f>G28</f>
        <v>-1.3185999996494502E-2</v>
      </c>
      <c r="L28" s="29"/>
      <c r="M28" s="29"/>
      <c r="N28" s="29"/>
      <c r="O28" s="29">
        <f t="shared" ca="1" si="4"/>
        <v>-9.2686245825302271E-2</v>
      </c>
      <c r="P28" s="29"/>
      <c r="Q28" s="31">
        <f t="shared" si="3"/>
        <v>37563.092499999999</v>
      </c>
      <c r="S28" s="29"/>
      <c r="U28" s="29"/>
    </row>
    <row r="29" spans="1:30" x14ac:dyDescent="0.2">
      <c r="A29" s="32" t="s">
        <v>42</v>
      </c>
      <c r="B29" s="32"/>
      <c r="C29" s="34">
        <v>52875.115999999922</v>
      </c>
      <c r="D29" s="34"/>
      <c r="E29" s="29">
        <f t="shared" si="0"/>
        <v>21456.976078147749</v>
      </c>
      <c r="F29" s="29">
        <f t="shared" si="1"/>
        <v>21457</v>
      </c>
      <c r="G29" s="29"/>
      <c r="H29" s="29"/>
      <c r="I29" s="29"/>
      <c r="J29" s="29"/>
      <c r="L29" s="29"/>
      <c r="M29" s="29"/>
      <c r="N29" s="29"/>
      <c r="O29" s="29">
        <f t="shared" ca="1" si="4"/>
        <v>-8.4857942690288068E-2</v>
      </c>
      <c r="P29" s="29"/>
      <c r="Q29" s="31">
        <f t="shared" si="3"/>
        <v>37856.615999999922</v>
      </c>
      <c r="S29" s="29"/>
      <c r="U29" s="33">
        <v>-7.9500000079860911E-2</v>
      </c>
    </row>
    <row r="30" spans="1:30" x14ac:dyDescent="0.2">
      <c r="A30" s="33" t="s">
        <v>100</v>
      </c>
      <c r="B30" s="30" t="s">
        <v>38</v>
      </c>
      <c r="C30" s="34">
        <v>52875.116000000002</v>
      </c>
      <c r="D30" s="34" t="s">
        <v>71</v>
      </c>
      <c r="E30" s="29">
        <f t="shared" si="0"/>
        <v>21456.97607814788</v>
      </c>
      <c r="F30" s="29">
        <f t="shared" si="1"/>
        <v>21457</v>
      </c>
      <c r="G30" s="29">
        <f>+C30-(C$7+F30*C$8)</f>
        <v>-1.4658999993116595E-2</v>
      </c>
      <c r="H30" s="29"/>
      <c r="I30" s="29">
        <f>G30</f>
        <v>-1.4658999993116595E-2</v>
      </c>
      <c r="K30" s="29"/>
      <c r="L30" s="29"/>
      <c r="M30" s="29"/>
      <c r="N30" s="29"/>
      <c r="O30" s="29">
        <f t="shared" ca="1" si="4"/>
        <v>-8.4857942690288068E-2</v>
      </c>
      <c r="P30" s="29"/>
      <c r="Q30" s="31">
        <f t="shared" si="3"/>
        <v>37856.616000000002</v>
      </c>
      <c r="S30" s="29"/>
      <c r="U30" s="29"/>
    </row>
    <row r="31" spans="1:30" x14ac:dyDescent="0.2">
      <c r="A31" s="33" t="s">
        <v>104</v>
      </c>
      <c r="B31" s="30" t="s">
        <v>38</v>
      </c>
      <c r="C31" s="34">
        <v>53285.080800000003</v>
      </c>
      <c r="D31" s="34" t="s">
        <v>71</v>
      </c>
      <c r="E31" s="29">
        <f t="shared" si="0"/>
        <v>22125.992881702787</v>
      </c>
      <c r="F31" s="29">
        <f t="shared" si="1"/>
        <v>22126</v>
      </c>
      <c r="G31" s="29">
        <f>+C31-(C$7+F31*C$8)</f>
        <v>-4.3619999923976138E-3</v>
      </c>
      <c r="H31" s="29"/>
      <c r="I31" s="29">
        <f>G31</f>
        <v>-4.3619999923976138E-3</v>
      </c>
      <c r="K31" s="29"/>
      <c r="L31" s="29"/>
      <c r="M31" s="29"/>
      <c r="N31" s="29"/>
      <c r="O31" s="29">
        <f t="shared" ca="1" si="4"/>
        <v>-7.3924467121760873E-2</v>
      </c>
      <c r="P31" s="29"/>
      <c r="Q31" s="31">
        <f t="shared" si="3"/>
        <v>38266.580800000003</v>
      </c>
      <c r="S31" s="29"/>
      <c r="U31" s="29"/>
    </row>
    <row r="32" spans="1:30" x14ac:dyDescent="0.2">
      <c r="A32" s="32" t="s">
        <v>42</v>
      </c>
      <c r="B32" s="32"/>
      <c r="C32" s="34">
        <v>53285.080800000113</v>
      </c>
      <c r="D32" s="34"/>
      <c r="E32" s="29">
        <f t="shared" si="0"/>
        <v>22125.992881702965</v>
      </c>
      <c r="F32" s="29">
        <f t="shared" si="1"/>
        <v>22126</v>
      </c>
      <c r="G32" s="29"/>
      <c r="H32" s="29"/>
      <c r="I32" s="29"/>
      <c r="J32" s="29"/>
      <c r="L32" s="29"/>
      <c r="M32" s="29"/>
      <c r="N32" s="29"/>
      <c r="O32" s="29">
        <f t="shared" ca="1" si="4"/>
        <v>-7.3924467121760873E-2</v>
      </c>
      <c r="P32" s="29"/>
      <c r="Q32" s="31">
        <f t="shared" si="3"/>
        <v>38266.580800000113</v>
      </c>
      <c r="S32" s="29"/>
      <c r="U32" s="33">
        <v>0.10148500011564465</v>
      </c>
    </row>
    <row r="33" spans="1:21" x14ac:dyDescent="0.2">
      <c r="A33" s="32" t="s">
        <v>42</v>
      </c>
      <c r="B33" s="32"/>
      <c r="C33" s="34">
        <v>53301.008899999782</v>
      </c>
      <c r="D33" s="34"/>
      <c r="E33" s="29">
        <f t="shared" si="0"/>
        <v>22151.985763405206</v>
      </c>
      <c r="F33" s="29">
        <f t="shared" si="1"/>
        <v>22152</v>
      </c>
      <c r="G33" s="29"/>
      <c r="H33" s="29"/>
      <c r="I33" s="29"/>
      <c r="J33" s="29"/>
      <c r="L33" s="29"/>
      <c r="M33" s="29"/>
      <c r="N33" s="29"/>
      <c r="O33" s="29">
        <f t="shared" ca="1" si="4"/>
        <v>-7.3499548788753866E-2</v>
      </c>
      <c r="P33" s="29"/>
      <c r="Q33" s="31">
        <f t="shared" si="3"/>
        <v>38282.508899999782</v>
      </c>
      <c r="S33" s="29"/>
      <c r="U33" s="33">
        <v>9.1844999784370884E-2</v>
      </c>
    </row>
    <row r="34" spans="1:21" x14ac:dyDescent="0.2">
      <c r="A34" s="33" t="s">
        <v>104</v>
      </c>
      <c r="B34" s="30" t="s">
        <v>38</v>
      </c>
      <c r="C34" s="34">
        <v>53301.008900000001</v>
      </c>
      <c r="D34" s="34" t="s">
        <v>71</v>
      </c>
      <c r="E34" s="29">
        <f t="shared" si="0"/>
        <v>22151.985763405562</v>
      </c>
      <c r="F34" s="29">
        <f t="shared" si="1"/>
        <v>22152</v>
      </c>
      <c r="G34" s="29">
        <f>+C34-(C$7+F34*C$8)</f>
        <v>-8.7239999993471429E-3</v>
      </c>
      <c r="H34" s="29"/>
      <c r="I34" s="29"/>
      <c r="K34" s="29">
        <f>G34</f>
        <v>-8.7239999993471429E-3</v>
      </c>
      <c r="L34" s="29"/>
      <c r="M34" s="29"/>
      <c r="N34" s="29"/>
      <c r="O34" s="29">
        <f t="shared" ca="1" si="4"/>
        <v>-7.3499548788753866E-2</v>
      </c>
      <c r="P34" s="29"/>
      <c r="Q34" s="31">
        <f t="shared" si="3"/>
        <v>38282.508900000001</v>
      </c>
      <c r="S34" s="29"/>
      <c r="U34" s="29"/>
    </row>
    <row r="35" spans="1:21" x14ac:dyDescent="0.2">
      <c r="A35" s="33" t="s">
        <v>104</v>
      </c>
      <c r="B35" s="30" t="s">
        <v>59</v>
      </c>
      <c r="C35" s="34">
        <v>53312.970600000001</v>
      </c>
      <c r="D35" s="34" t="s">
        <v>71</v>
      </c>
      <c r="E35" s="29">
        <f t="shared" si="0"/>
        <v>22171.50592293897</v>
      </c>
      <c r="F35" s="29">
        <f t="shared" si="1"/>
        <v>22171.5</v>
      </c>
      <c r="G35" s="29">
        <f>+C35-(C$7+F35*C$8)</f>
        <v>3.629500002716668E-3</v>
      </c>
      <c r="H35" s="29"/>
      <c r="I35" s="29"/>
      <c r="K35" s="29">
        <f>G35</f>
        <v>3.629500002716668E-3</v>
      </c>
      <c r="L35" s="29"/>
      <c r="M35" s="29"/>
      <c r="N35" s="29"/>
      <c r="O35" s="29">
        <f t="shared" ca="1" si="4"/>
        <v>-7.3180860038998596E-2</v>
      </c>
      <c r="P35" s="29"/>
      <c r="Q35" s="31">
        <f t="shared" si="3"/>
        <v>38294.470600000001</v>
      </c>
      <c r="S35" s="29"/>
      <c r="U35" s="29"/>
    </row>
    <row r="36" spans="1:21" x14ac:dyDescent="0.2">
      <c r="A36" s="32" t="s">
        <v>42</v>
      </c>
      <c r="B36" s="32"/>
      <c r="C36" s="34">
        <v>53312.970600000117</v>
      </c>
      <c r="D36" s="34"/>
      <c r="E36" s="29">
        <f t="shared" si="0"/>
        <v>22171.505922939163</v>
      </c>
      <c r="F36" s="29">
        <f t="shared" si="1"/>
        <v>22171.5</v>
      </c>
      <c r="G36" s="29"/>
      <c r="H36" s="29"/>
      <c r="I36" s="29"/>
      <c r="J36" s="29"/>
      <c r="L36" s="29"/>
      <c r="M36" s="29"/>
      <c r="N36" s="29"/>
      <c r="O36" s="29">
        <f t="shared" ca="1" si="4"/>
        <v>-7.3180860038998596E-2</v>
      </c>
      <c r="P36" s="29"/>
      <c r="Q36" s="31">
        <f t="shared" si="3"/>
        <v>38294.470600000117</v>
      </c>
      <c r="S36" s="29"/>
      <c r="U36" s="33">
        <v>0.10024000011617318</v>
      </c>
    </row>
    <row r="37" spans="1:21" x14ac:dyDescent="0.2">
      <c r="A37" s="39" t="s">
        <v>53</v>
      </c>
      <c r="B37" s="30" t="s">
        <v>38</v>
      </c>
      <c r="C37" s="36">
        <v>54005.718099999998</v>
      </c>
      <c r="D37" s="36">
        <v>2.7000000000000001E-3</v>
      </c>
      <c r="E37" s="29">
        <f t="shared" si="0"/>
        <v>23301.992535742436</v>
      </c>
      <c r="F37" s="29">
        <f t="shared" si="1"/>
        <v>23302</v>
      </c>
      <c r="G37" s="29">
        <f>+C37-(C$7+F37*C$8)</f>
        <v>-4.5739999986835755E-3</v>
      </c>
      <c r="H37" s="29"/>
      <c r="I37" s="29"/>
      <c r="K37" s="29">
        <f>G37</f>
        <v>-4.5739999986835755E-3</v>
      </c>
      <c r="L37" s="29"/>
      <c r="M37" s="29"/>
      <c r="N37" s="29"/>
      <c r="O37" s="29">
        <f t="shared" ca="1" si="4"/>
        <v>-5.4705084059596565E-2</v>
      </c>
      <c r="P37" s="29"/>
      <c r="Q37" s="31">
        <f t="shared" si="3"/>
        <v>38987.218099999998</v>
      </c>
      <c r="S37" s="29"/>
      <c r="U37" s="29"/>
    </row>
    <row r="38" spans="1:21" x14ac:dyDescent="0.2">
      <c r="A38" s="33" t="s">
        <v>123</v>
      </c>
      <c r="B38" s="30" t="s">
        <v>38</v>
      </c>
      <c r="C38" s="34">
        <v>54016.133300000001</v>
      </c>
      <c r="D38" s="34" t="s">
        <v>71</v>
      </c>
      <c r="E38" s="29">
        <f t="shared" si="0"/>
        <v>23318.988979857608</v>
      </c>
      <c r="F38" s="29">
        <f t="shared" si="1"/>
        <v>23319</v>
      </c>
      <c r="G38" s="29">
        <f>+C38-(C$7+F38*C$8)</f>
        <v>-6.7529999942053109E-3</v>
      </c>
      <c r="H38" s="29"/>
      <c r="I38" s="29"/>
      <c r="K38" s="29">
        <f>G38</f>
        <v>-6.7529999942053109E-3</v>
      </c>
      <c r="L38" s="29"/>
      <c r="M38" s="29"/>
      <c r="N38" s="29"/>
      <c r="O38" s="29">
        <f t="shared" ca="1" si="4"/>
        <v>-5.4427252841861173E-2</v>
      </c>
      <c r="P38" s="29"/>
      <c r="Q38" s="31">
        <f t="shared" si="3"/>
        <v>38997.633300000001</v>
      </c>
      <c r="S38" s="29"/>
      <c r="U38" s="29"/>
    </row>
    <row r="39" spans="1:21" x14ac:dyDescent="0.2">
      <c r="A39" s="39" t="s">
        <v>53</v>
      </c>
      <c r="B39" s="30" t="s">
        <v>38</v>
      </c>
      <c r="C39" s="36">
        <v>54028.701300000001</v>
      </c>
      <c r="D39" s="36">
        <v>1.6000000000000001E-3</v>
      </c>
      <c r="E39" s="29">
        <f t="shared" si="0"/>
        <v>23339.498553330934</v>
      </c>
      <c r="F39" s="29">
        <f t="shared" si="1"/>
        <v>23339.5</v>
      </c>
      <c r="G39" s="29">
        <f>+C39-(C$7+F39*C$8)</f>
        <v>-8.8649999815970659E-4</v>
      </c>
      <c r="H39" s="29"/>
      <c r="I39" s="29"/>
      <c r="K39" s="29">
        <f>G39</f>
        <v>-8.8649999815970659E-4</v>
      </c>
      <c r="L39" s="29"/>
      <c r="M39" s="29"/>
      <c r="N39" s="29"/>
      <c r="O39" s="29">
        <f t="shared" ca="1" si="4"/>
        <v>-5.4092221079297953E-2</v>
      </c>
      <c r="P39" s="29"/>
      <c r="Q39" s="31">
        <f t="shared" si="3"/>
        <v>39010.201300000001</v>
      </c>
      <c r="S39" s="29"/>
      <c r="U39" s="29"/>
    </row>
    <row r="40" spans="1:21" x14ac:dyDescent="0.2">
      <c r="A40" s="33" t="s">
        <v>123</v>
      </c>
      <c r="B40" s="30" t="s">
        <v>59</v>
      </c>
      <c r="C40" s="34">
        <v>54059.956200000001</v>
      </c>
      <c r="D40" s="34" t="s">
        <v>71</v>
      </c>
      <c r="E40" s="29">
        <f t="shared" si="0"/>
        <v>23390.503062238597</v>
      </c>
      <c r="F40" s="29">
        <f t="shared" si="1"/>
        <v>23390.5</v>
      </c>
      <c r="G40" s="29">
        <f>+C40-(C$7+F40*C$8)</f>
        <v>1.8765000058920123E-3</v>
      </c>
      <c r="H40" s="29"/>
      <c r="I40" s="29"/>
      <c r="K40" s="29">
        <f>G40</f>
        <v>1.8765000058920123E-3</v>
      </c>
      <c r="L40" s="29"/>
      <c r="M40" s="29"/>
      <c r="N40" s="29"/>
      <c r="O40" s="29">
        <f t="shared" ca="1" si="4"/>
        <v>-5.3258727426091834E-2</v>
      </c>
      <c r="P40" s="29"/>
      <c r="Q40" s="31">
        <f t="shared" si="3"/>
        <v>39041.456200000001</v>
      </c>
      <c r="S40" s="29"/>
      <c r="U40" s="29"/>
    </row>
    <row r="41" spans="1:21" x14ac:dyDescent="0.2">
      <c r="A41" s="33" t="s">
        <v>137</v>
      </c>
      <c r="B41" s="30" t="s">
        <v>38</v>
      </c>
      <c r="C41" s="34">
        <v>54719.058700000001</v>
      </c>
      <c r="D41" s="34" t="s">
        <v>71</v>
      </c>
      <c r="E41" s="29">
        <f t="shared" si="0"/>
        <v>24466.084789657751</v>
      </c>
      <c r="F41" s="29">
        <f t="shared" si="1"/>
        <v>24466</v>
      </c>
      <c r="H41" s="29"/>
      <c r="I41" s="29"/>
      <c r="K41" s="29"/>
      <c r="L41" s="29"/>
      <c r="M41" s="29"/>
      <c r="N41" s="29"/>
      <c r="O41" s="29">
        <f t="shared" ca="1" si="4"/>
        <v>-3.5681817151127782E-2</v>
      </c>
      <c r="P41" s="29"/>
      <c r="Q41" s="31">
        <f t="shared" si="3"/>
        <v>39700.558700000001</v>
      </c>
      <c r="S41" s="29"/>
      <c r="U41" s="29">
        <f>+C41-(C$7+F41*C$8)</f>
        <v>5.195800000365125E-2</v>
      </c>
    </row>
    <row r="42" spans="1:21" x14ac:dyDescent="0.2">
      <c r="A42" s="62" t="s">
        <v>1</v>
      </c>
      <c r="B42" s="63" t="s">
        <v>59</v>
      </c>
      <c r="C42" s="64">
        <v>55115.796300000002</v>
      </c>
      <c r="D42" s="64">
        <v>8.9999999999999998E-4</v>
      </c>
      <c r="E42" s="29">
        <f t="shared" si="0"/>
        <v>25113.516278902793</v>
      </c>
      <c r="F42" s="29">
        <f t="shared" si="1"/>
        <v>25113.5</v>
      </c>
      <c r="G42" s="29">
        <f t="shared" ref="G42:G60" si="5">+C42-(C$7+F42*C$8)</f>
        <v>9.9755000046570785E-3</v>
      </c>
      <c r="H42" s="29"/>
      <c r="I42" s="29"/>
      <c r="K42" s="29">
        <f t="shared" ref="K42:K60" si="6">G42</f>
        <v>9.9755000046570785E-3</v>
      </c>
      <c r="L42" s="29"/>
      <c r="M42" s="29"/>
      <c r="N42" s="29"/>
      <c r="O42" s="29">
        <f t="shared" ca="1" si="4"/>
        <v>-2.5099716357971813E-2</v>
      </c>
      <c r="P42" s="29"/>
      <c r="Q42" s="31">
        <f t="shared" si="3"/>
        <v>40097.296300000002</v>
      </c>
      <c r="S42" s="29"/>
      <c r="U42" s="29"/>
    </row>
    <row r="43" spans="1:21" x14ac:dyDescent="0.2">
      <c r="A43" s="33" t="s">
        <v>143</v>
      </c>
      <c r="B43" s="30" t="s">
        <v>38</v>
      </c>
      <c r="C43" s="34">
        <v>55453.1351</v>
      </c>
      <c r="D43" s="34" t="s">
        <v>71</v>
      </c>
      <c r="E43" s="29">
        <f t="shared" si="0"/>
        <v>25664.01555516028</v>
      </c>
      <c r="F43" s="29">
        <f t="shared" si="1"/>
        <v>25664</v>
      </c>
      <c r="G43" s="29">
        <f t="shared" si="5"/>
        <v>9.5320000036736019E-3</v>
      </c>
      <c r="H43" s="29"/>
      <c r="I43" s="29"/>
      <c r="K43" s="29">
        <f t="shared" si="6"/>
        <v>9.5320000036736019E-3</v>
      </c>
      <c r="L43" s="29"/>
      <c r="M43" s="29"/>
      <c r="N43" s="29"/>
      <c r="O43" s="29">
        <f t="shared" ca="1" si="4"/>
        <v>-1.6102887807188271E-2</v>
      </c>
      <c r="P43" s="29"/>
      <c r="Q43" s="31">
        <f t="shared" si="3"/>
        <v>40434.6351</v>
      </c>
      <c r="S43" s="29"/>
      <c r="U43" s="29"/>
    </row>
    <row r="44" spans="1:21" x14ac:dyDescent="0.2">
      <c r="A44" s="55" t="s">
        <v>58</v>
      </c>
      <c r="B44" s="56" t="s">
        <v>59</v>
      </c>
      <c r="C44" s="57">
        <v>55503.695399999997</v>
      </c>
      <c r="D44" s="57">
        <v>5.9999999999999995E-4</v>
      </c>
      <c r="E44" s="29">
        <f t="shared" si="0"/>
        <v>25746.524322480731</v>
      </c>
      <c r="F44" s="29">
        <f t="shared" si="1"/>
        <v>25746.5</v>
      </c>
      <c r="G44" s="29">
        <f t="shared" si="5"/>
        <v>1.4904499999829568E-2</v>
      </c>
      <c r="H44" s="29"/>
      <c r="I44" s="29"/>
      <c r="K44" s="29">
        <f t="shared" si="6"/>
        <v>1.4904499999829568E-2</v>
      </c>
      <c r="L44" s="29"/>
      <c r="M44" s="29"/>
      <c r="N44" s="29"/>
      <c r="O44" s="29">
        <f t="shared" ca="1" si="4"/>
        <v>-1.4754589250531358E-2</v>
      </c>
      <c r="P44" s="29"/>
      <c r="Q44" s="31">
        <f t="shared" si="3"/>
        <v>40485.195399999997</v>
      </c>
      <c r="S44" s="29"/>
      <c r="U44" s="29"/>
    </row>
    <row r="45" spans="1:21" x14ac:dyDescent="0.2">
      <c r="A45" s="58" t="s">
        <v>58</v>
      </c>
      <c r="B45" s="59" t="s">
        <v>59</v>
      </c>
      <c r="C45" s="58">
        <v>55503.695399999997</v>
      </c>
      <c r="D45" s="58">
        <v>5.9999999999999995E-4</v>
      </c>
      <c r="E45" s="29">
        <f t="shared" si="0"/>
        <v>25746.524322480731</v>
      </c>
      <c r="F45" s="29">
        <f t="shared" si="1"/>
        <v>25746.5</v>
      </c>
      <c r="G45" s="29">
        <f t="shared" si="5"/>
        <v>1.4904499999829568E-2</v>
      </c>
      <c r="H45" s="29"/>
      <c r="I45" s="29"/>
      <c r="K45" s="29">
        <f t="shared" si="6"/>
        <v>1.4904499999829568E-2</v>
      </c>
      <c r="L45" s="29"/>
      <c r="M45" s="29"/>
      <c r="N45" s="29"/>
      <c r="O45" s="29">
        <f t="shared" ca="1" si="4"/>
        <v>-1.4754589250531358E-2</v>
      </c>
      <c r="P45" s="29"/>
      <c r="Q45" s="31">
        <f t="shared" si="3"/>
        <v>40485.195399999997</v>
      </c>
      <c r="S45" s="29"/>
      <c r="U45" s="29"/>
    </row>
    <row r="46" spans="1:21" x14ac:dyDescent="0.2">
      <c r="A46" s="60" t="s">
        <v>155</v>
      </c>
      <c r="B46" s="61" t="s">
        <v>38</v>
      </c>
      <c r="C46" s="36">
        <v>56181.1345</v>
      </c>
      <c r="D46" s="36" t="s">
        <v>71</v>
      </c>
      <c r="E46" s="29">
        <f t="shared" si="0"/>
        <v>26852.029334825973</v>
      </c>
      <c r="F46" s="29">
        <f t="shared" si="1"/>
        <v>26852</v>
      </c>
      <c r="G46" s="29">
        <f t="shared" si="5"/>
        <v>1.7976000002818182E-2</v>
      </c>
      <c r="H46" s="29"/>
      <c r="I46" s="29"/>
      <c r="K46" s="29">
        <f t="shared" si="6"/>
        <v>1.7976000002818182E-2</v>
      </c>
      <c r="L46" s="29"/>
      <c r="M46" s="29"/>
      <c r="N46" s="29"/>
      <c r="O46" s="29">
        <f t="shared" ca="1" si="4"/>
        <v>3.3126114086716174E-3</v>
      </c>
      <c r="P46" s="29"/>
      <c r="Q46" s="31">
        <f t="shared" si="3"/>
        <v>41162.6345</v>
      </c>
      <c r="S46" s="29"/>
      <c r="U46" s="29"/>
    </row>
    <row r="47" spans="1:21" x14ac:dyDescent="0.2">
      <c r="A47" s="62" t="s">
        <v>1</v>
      </c>
      <c r="B47" s="63" t="s">
        <v>59</v>
      </c>
      <c r="C47" s="64">
        <v>57335.648399999998</v>
      </c>
      <c r="D47" s="64">
        <v>2.0000000000000001E-4</v>
      </c>
      <c r="E47" s="29">
        <f t="shared" si="0"/>
        <v>28736.067181581857</v>
      </c>
      <c r="F47" s="29">
        <f t="shared" si="1"/>
        <v>28736</v>
      </c>
      <c r="G47" s="29">
        <f t="shared" si="5"/>
        <v>4.1168000003381167E-2</v>
      </c>
      <c r="H47" s="29"/>
      <c r="I47" s="29"/>
      <c r="K47" s="29">
        <f t="shared" si="6"/>
        <v>4.1168000003381167E-2</v>
      </c>
      <c r="L47" s="29"/>
      <c r="M47" s="29"/>
      <c r="N47" s="29"/>
      <c r="O47" s="29">
        <f t="shared" ca="1" si="4"/>
        <v>3.410284753887366E-2</v>
      </c>
      <c r="P47" s="29"/>
      <c r="Q47" s="31">
        <f t="shared" si="3"/>
        <v>42317.148399999998</v>
      </c>
      <c r="S47" s="29"/>
      <c r="U47" s="29"/>
    </row>
    <row r="48" spans="1:21" x14ac:dyDescent="0.2">
      <c r="A48" s="67" t="s">
        <v>3</v>
      </c>
      <c r="B48" s="68" t="s">
        <v>38</v>
      </c>
      <c r="C48" s="69">
        <v>58021.976999999999</v>
      </c>
      <c r="D48" s="70" t="s">
        <v>159</v>
      </c>
      <c r="E48" s="60">
        <f t="shared" si="0"/>
        <v>29856.078865902837</v>
      </c>
      <c r="F48" s="29">
        <f t="shared" si="1"/>
        <v>29856</v>
      </c>
      <c r="G48" s="29">
        <f t="shared" si="5"/>
        <v>4.8328000004403293E-2</v>
      </c>
      <c r="H48" s="29"/>
      <c r="I48" s="29"/>
      <c r="K48" s="29">
        <f t="shared" si="6"/>
        <v>4.8328000004403293E-2</v>
      </c>
      <c r="L48" s="29"/>
      <c r="M48" s="29"/>
      <c r="N48" s="29"/>
      <c r="O48" s="29">
        <f t="shared" ca="1" si="4"/>
        <v>5.2407021883792038E-2</v>
      </c>
      <c r="P48" s="29"/>
      <c r="Q48" s="31">
        <f t="shared" si="3"/>
        <v>43003.476999999999</v>
      </c>
    </row>
    <row r="49" spans="1:21" x14ac:dyDescent="0.2">
      <c r="A49" s="65" t="s">
        <v>2</v>
      </c>
      <c r="B49" s="66" t="s">
        <v>59</v>
      </c>
      <c r="C49" s="65">
        <v>58052.621599999999</v>
      </c>
      <c r="D49" s="65">
        <v>2.0000000000000001E-4</v>
      </c>
      <c r="E49" s="29">
        <f t="shared" si="0"/>
        <v>29906.087433316963</v>
      </c>
      <c r="F49" s="29">
        <f t="shared" si="1"/>
        <v>29906</v>
      </c>
      <c r="G49" s="29">
        <f t="shared" si="5"/>
        <v>5.3578000006382354E-2</v>
      </c>
      <c r="H49" s="29"/>
      <c r="I49" s="29"/>
      <c r="K49" s="29">
        <f t="shared" si="6"/>
        <v>5.3578000006382354E-2</v>
      </c>
      <c r="L49" s="29"/>
      <c r="M49" s="29"/>
      <c r="N49" s="29"/>
      <c r="O49" s="29">
        <f t="shared" ca="1" si="4"/>
        <v>5.3224172524190205E-2</v>
      </c>
      <c r="P49" s="29"/>
      <c r="Q49" s="31">
        <f t="shared" si="3"/>
        <v>43034.121599999999</v>
      </c>
      <c r="S49" s="29"/>
      <c r="U49" s="29"/>
    </row>
    <row r="50" spans="1:21" x14ac:dyDescent="0.2">
      <c r="A50" s="65" t="s">
        <v>2</v>
      </c>
      <c r="B50" s="66" t="s">
        <v>59</v>
      </c>
      <c r="C50" s="65">
        <v>58083.572899999999</v>
      </c>
      <c r="D50" s="65">
        <v>2.9999999999999997E-4</v>
      </c>
      <c r="E50" s="60">
        <f t="shared" si="0"/>
        <v>29956.596500904885</v>
      </c>
      <c r="F50" s="29">
        <f t="shared" si="1"/>
        <v>29956.5</v>
      </c>
      <c r="G50" s="29">
        <f t="shared" si="5"/>
        <v>5.913449999934528E-2</v>
      </c>
      <c r="H50" s="29"/>
      <c r="I50" s="29"/>
      <c r="K50" s="29">
        <f t="shared" si="6"/>
        <v>5.913449999934528E-2</v>
      </c>
      <c r="L50" s="29"/>
      <c r="M50" s="29"/>
      <c r="N50" s="29"/>
      <c r="O50" s="29">
        <f t="shared" ca="1" si="4"/>
        <v>5.4049494670992293E-2</v>
      </c>
      <c r="P50" s="29"/>
      <c r="Q50" s="31">
        <f t="shared" si="3"/>
        <v>43065.072899999999</v>
      </c>
    </row>
    <row r="51" spans="1:21" x14ac:dyDescent="0.2">
      <c r="A51" s="71" t="s">
        <v>0</v>
      </c>
      <c r="B51" s="66" t="s">
        <v>38</v>
      </c>
      <c r="C51" s="71">
        <v>58393.950999999885</v>
      </c>
      <c r="D51" s="71" t="s">
        <v>18</v>
      </c>
      <c r="E51" s="60">
        <f t="shared" si="0"/>
        <v>30463.098923443034</v>
      </c>
      <c r="F51" s="29">
        <f t="shared" si="1"/>
        <v>30463</v>
      </c>
      <c r="G51" s="29">
        <f t="shared" si="5"/>
        <v>6.0618999887083191E-2</v>
      </c>
      <c r="H51" s="29"/>
      <c r="I51" s="29"/>
      <c r="K51" s="29">
        <f t="shared" si="6"/>
        <v>6.0618999887083191E-2</v>
      </c>
      <c r="L51" s="29"/>
      <c r="M51" s="29"/>
      <c r="N51" s="29"/>
      <c r="O51" s="29">
        <f t="shared" ca="1" si="4"/>
        <v>6.2327230658225485E-2</v>
      </c>
      <c r="P51" s="29"/>
      <c r="Q51" s="31">
        <f t="shared" si="3"/>
        <v>43375.450999999885</v>
      </c>
    </row>
    <row r="52" spans="1:21" x14ac:dyDescent="0.2">
      <c r="A52" s="71" t="s">
        <v>0</v>
      </c>
      <c r="B52" s="66" t="s">
        <v>38</v>
      </c>
      <c r="C52" s="71">
        <v>58393.952000000048</v>
      </c>
      <c r="D52" s="71" t="s">
        <v>18</v>
      </c>
      <c r="E52" s="60">
        <f t="shared" si="0"/>
        <v>30463.100555331708</v>
      </c>
      <c r="F52" s="29">
        <f t="shared" si="1"/>
        <v>30463</v>
      </c>
      <c r="G52" s="29">
        <f t="shared" si="5"/>
        <v>6.1619000050995965E-2</v>
      </c>
      <c r="H52" s="29"/>
      <c r="I52" s="29"/>
      <c r="K52" s="29">
        <f t="shared" si="6"/>
        <v>6.1619000050995965E-2</v>
      </c>
      <c r="L52" s="29"/>
      <c r="M52" s="29"/>
      <c r="N52" s="29"/>
      <c r="O52" s="29">
        <f t="shared" ca="1" si="4"/>
        <v>6.2327230658225485E-2</v>
      </c>
      <c r="P52" s="29"/>
      <c r="Q52" s="31">
        <f t="shared" si="3"/>
        <v>43375.452000000048</v>
      </c>
    </row>
    <row r="53" spans="1:21" x14ac:dyDescent="0.2">
      <c r="A53" s="71" t="s">
        <v>0</v>
      </c>
      <c r="B53" s="66" t="s">
        <v>38</v>
      </c>
      <c r="C53" s="71">
        <v>58393.952000000048</v>
      </c>
      <c r="D53" s="71" t="s">
        <v>18</v>
      </c>
      <c r="E53" s="60">
        <f t="shared" si="0"/>
        <v>30463.100555331708</v>
      </c>
      <c r="F53" s="29">
        <f t="shared" si="1"/>
        <v>30463</v>
      </c>
      <c r="G53" s="29">
        <f t="shared" si="5"/>
        <v>6.1619000050995965E-2</v>
      </c>
      <c r="H53" s="29"/>
      <c r="I53" s="29"/>
      <c r="K53" s="29">
        <f t="shared" si="6"/>
        <v>6.1619000050995965E-2</v>
      </c>
      <c r="L53" s="29"/>
      <c r="M53" s="29"/>
      <c r="N53" s="29"/>
      <c r="O53" s="29">
        <f t="shared" ca="1" si="4"/>
        <v>6.2327230658225485E-2</v>
      </c>
      <c r="P53" s="29"/>
      <c r="Q53" s="31">
        <f t="shared" si="3"/>
        <v>43375.452000000048</v>
      </c>
    </row>
    <row r="54" spans="1:21" x14ac:dyDescent="0.2">
      <c r="A54" s="72" t="s">
        <v>161</v>
      </c>
      <c r="B54" s="73" t="s">
        <v>59</v>
      </c>
      <c r="C54" s="74">
        <v>58787.678699999997</v>
      </c>
      <c r="D54" s="74">
        <v>2.9999999999999997E-4</v>
      </c>
      <c r="E54" s="60">
        <f t="shared" si="0"/>
        <v>31105.61859177822</v>
      </c>
      <c r="F54" s="29">
        <f t="shared" si="1"/>
        <v>31105.5</v>
      </c>
      <c r="G54" s="29">
        <f t="shared" si="5"/>
        <v>7.2671499998250511E-2</v>
      </c>
      <c r="H54" s="29"/>
      <c r="I54" s="29"/>
      <c r="K54" s="29">
        <f t="shared" si="6"/>
        <v>7.2671499998250511E-2</v>
      </c>
      <c r="L54" s="29"/>
      <c r="M54" s="29"/>
      <c r="N54" s="29"/>
      <c r="O54" s="29">
        <f t="shared" ca="1" si="4"/>
        <v>7.2827616387341587E-2</v>
      </c>
      <c r="P54" s="29"/>
      <c r="Q54" s="31">
        <f t="shared" si="3"/>
        <v>43769.178699999997</v>
      </c>
    </row>
    <row r="55" spans="1:21" x14ac:dyDescent="0.2">
      <c r="A55" s="72" t="s">
        <v>160</v>
      </c>
      <c r="B55" s="73" t="s">
        <v>59</v>
      </c>
      <c r="C55" s="74">
        <v>58788.5965</v>
      </c>
      <c r="D55" s="74">
        <v>2.9999999999999997E-4</v>
      </c>
      <c r="E55" s="60">
        <f t="shared" si="0"/>
        <v>31107.116338956283</v>
      </c>
      <c r="F55" s="29">
        <f t="shared" si="1"/>
        <v>31107</v>
      </c>
      <c r="G55" s="29">
        <f t="shared" si="5"/>
        <v>7.1291000000201166E-2</v>
      </c>
      <c r="H55" s="29"/>
      <c r="I55" s="29"/>
      <c r="K55" s="29">
        <f t="shared" si="6"/>
        <v>7.1291000000201166E-2</v>
      </c>
      <c r="L55" s="29"/>
      <c r="M55" s="29"/>
      <c r="N55" s="29"/>
      <c r="O55" s="29">
        <f t="shared" ca="1" si="4"/>
        <v>7.2852130906553625E-2</v>
      </c>
      <c r="P55" s="29"/>
      <c r="Q55" s="31">
        <f t="shared" si="3"/>
        <v>43770.0965</v>
      </c>
    </row>
    <row r="56" spans="1:21" ht="12" customHeight="1" x14ac:dyDescent="0.2">
      <c r="A56" s="75" t="s">
        <v>162</v>
      </c>
      <c r="B56" s="76" t="s">
        <v>38</v>
      </c>
      <c r="C56" s="77">
        <v>59132.682200000003</v>
      </c>
      <c r="D56" s="77">
        <v>1E-4</v>
      </c>
      <c r="E56" s="60">
        <f t="shared" si="0"/>
        <v>31668.625803093091</v>
      </c>
      <c r="F56" s="29">
        <f t="shared" si="1"/>
        <v>31668.5</v>
      </c>
      <c r="G56" s="29">
        <f t="shared" si="5"/>
        <v>7.7090500002668705E-2</v>
      </c>
      <c r="H56" s="29"/>
      <c r="I56" s="29"/>
      <c r="K56" s="29">
        <f t="shared" si="6"/>
        <v>7.7090500002668705E-2</v>
      </c>
      <c r="L56" s="29"/>
      <c r="M56" s="29"/>
      <c r="N56" s="29"/>
      <c r="O56" s="29">
        <f t="shared" ca="1" si="4"/>
        <v>8.2028732598224741E-2</v>
      </c>
      <c r="P56" s="29"/>
      <c r="Q56" s="31">
        <f t="shared" si="3"/>
        <v>44114.182200000003</v>
      </c>
    </row>
    <row r="57" spans="1:21" ht="12" customHeight="1" x14ac:dyDescent="0.2">
      <c r="A57" s="78" t="s">
        <v>163</v>
      </c>
      <c r="B57" s="79" t="s">
        <v>38</v>
      </c>
      <c r="C57" s="85">
        <v>59132.682200000003</v>
      </c>
      <c r="D57" s="80">
        <v>1E-4</v>
      </c>
      <c r="E57" s="60">
        <f t="shared" si="0"/>
        <v>31668.625803093091</v>
      </c>
      <c r="F57" s="29">
        <f t="shared" si="1"/>
        <v>31668.5</v>
      </c>
      <c r="G57" s="29">
        <f t="shared" si="5"/>
        <v>7.7090500002668705E-2</v>
      </c>
      <c r="H57" s="29"/>
      <c r="I57" s="29"/>
      <c r="K57" s="29">
        <f t="shared" si="6"/>
        <v>7.7090500002668705E-2</v>
      </c>
      <c r="L57" s="29"/>
      <c r="M57" s="29"/>
      <c r="N57" s="29"/>
      <c r="O57" s="29">
        <f t="shared" ca="1" si="4"/>
        <v>8.2028732598224741E-2</v>
      </c>
      <c r="P57" s="29"/>
      <c r="Q57" s="31">
        <f t="shared" si="3"/>
        <v>44114.182200000003</v>
      </c>
    </row>
    <row r="58" spans="1:21" ht="12" customHeight="1" x14ac:dyDescent="0.2">
      <c r="A58" s="78" t="s">
        <v>164</v>
      </c>
      <c r="B58" s="79" t="s">
        <v>38</v>
      </c>
      <c r="C58" s="85">
        <v>59415.202000000048</v>
      </c>
      <c r="D58" s="80"/>
      <c r="E58" s="60">
        <f t="shared" si="0"/>
        <v>32129.666588880071</v>
      </c>
      <c r="F58" s="29">
        <f t="shared" si="1"/>
        <v>32129.5</v>
      </c>
      <c r="G58" s="29">
        <f t="shared" si="5"/>
        <v>0.10208350005268585</v>
      </c>
      <c r="H58" s="29"/>
      <c r="I58" s="29"/>
      <c r="K58" s="29">
        <f t="shared" si="6"/>
        <v>0.10208350005268585</v>
      </c>
      <c r="L58" s="29"/>
      <c r="M58" s="29"/>
      <c r="N58" s="29"/>
      <c r="O58" s="29">
        <f t="shared" ca="1" si="4"/>
        <v>8.9562861502695656E-2</v>
      </c>
      <c r="P58" s="29"/>
      <c r="Q58" s="31">
        <f t="shared" si="3"/>
        <v>44396.702000000048</v>
      </c>
    </row>
    <row r="59" spans="1:21" ht="12" customHeight="1" x14ac:dyDescent="0.2">
      <c r="A59" s="78" t="s">
        <v>164</v>
      </c>
      <c r="B59" s="79" t="s">
        <v>38</v>
      </c>
      <c r="C59" s="85">
        <v>59415.203000000212</v>
      </c>
      <c r="D59" s="80"/>
      <c r="E59" s="60">
        <f t="shared" si="0"/>
        <v>32129.668220768745</v>
      </c>
      <c r="F59" s="29">
        <f t="shared" si="1"/>
        <v>32129.5</v>
      </c>
      <c r="G59" s="29">
        <f t="shared" si="5"/>
        <v>0.10308350021659862</v>
      </c>
      <c r="H59" s="29"/>
      <c r="I59" s="29"/>
      <c r="K59" s="29">
        <f t="shared" si="6"/>
        <v>0.10308350021659862</v>
      </c>
      <c r="L59" s="29"/>
      <c r="M59" s="29"/>
      <c r="N59" s="29"/>
      <c r="O59" s="29">
        <f t="shared" ca="1" si="4"/>
        <v>8.9562861502695656E-2</v>
      </c>
      <c r="P59" s="29"/>
      <c r="Q59" s="31">
        <f t="shared" si="3"/>
        <v>44396.703000000212</v>
      </c>
    </row>
    <row r="60" spans="1:21" ht="12" customHeight="1" x14ac:dyDescent="0.2">
      <c r="A60" s="80" t="s">
        <v>165</v>
      </c>
      <c r="B60" s="79" t="s">
        <v>59</v>
      </c>
      <c r="C60" s="85">
        <v>59488.725700000003</v>
      </c>
      <c r="D60" s="80">
        <v>5.9999999999999995E-4</v>
      </c>
      <c r="E60" s="60">
        <f t="shared" si="0"/>
        <v>32249.649062398526</v>
      </c>
      <c r="F60" s="29">
        <f t="shared" si="1"/>
        <v>32249.5</v>
      </c>
      <c r="G60" s="29">
        <f t="shared" si="5"/>
        <v>9.1343500003858935E-2</v>
      </c>
      <c r="H60" s="29"/>
      <c r="I60" s="29"/>
      <c r="K60" s="29">
        <f t="shared" si="6"/>
        <v>9.1343500003858935E-2</v>
      </c>
      <c r="L60" s="29"/>
      <c r="M60" s="29"/>
      <c r="N60" s="29"/>
      <c r="O60" s="29">
        <f t="shared" ca="1" si="4"/>
        <v>9.1524023039651126E-2</v>
      </c>
      <c r="P60" s="29"/>
      <c r="Q60" s="31">
        <f t="shared" si="3"/>
        <v>44470.225700000003</v>
      </c>
    </row>
    <row r="61" spans="1:21" ht="12" customHeight="1" x14ac:dyDescent="0.2">
      <c r="A61" s="81" t="s">
        <v>166</v>
      </c>
      <c r="B61" s="82" t="s">
        <v>38</v>
      </c>
      <c r="C61" s="85">
        <v>59852.729500000001</v>
      </c>
      <c r="D61" s="80">
        <v>2.9999999999999997E-4</v>
      </c>
      <c r="E61" s="60">
        <f t="shared" ref="E61" si="7">+(C61-C$7)/C$8</f>
        <v>32843.662642973832</v>
      </c>
      <c r="F61" s="29">
        <f t="shared" si="1"/>
        <v>32843.5</v>
      </c>
      <c r="G61" s="29">
        <f t="shared" ref="G61" si="8">+C61-(C$7+F61*C$8)</f>
        <v>9.9665500005357899E-2</v>
      </c>
      <c r="H61" s="29"/>
      <c r="I61" s="29"/>
      <c r="K61" s="29">
        <f t="shared" ref="K61" si="9">G61</f>
        <v>9.9665500005357899E-2</v>
      </c>
      <c r="L61" s="29"/>
      <c r="M61" s="29"/>
      <c r="N61" s="29"/>
      <c r="O61" s="29">
        <f t="shared" ref="O61" ca="1" si="10">+C$11+C$12*F61</f>
        <v>0.1012317726475811</v>
      </c>
      <c r="P61" s="29"/>
      <c r="Q61" s="31">
        <f t="shared" ref="Q61" si="11">+C61-15018.5</f>
        <v>44834.229500000001</v>
      </c>
    </row>
    <row r="62" spans="1:21" ht="12" customHeight="1" x14ac:dyDescent="0.2">
      <c r="A62" s="83" t="s">
        <v>167</v>
      </c>
      <c r="B62" s="84" t="s">
        <v>38</v>
      </c>
      <c r="C62" s="86">
        <v>59853.029000000097</v>
      </c>
      <c r="D62" s="83"/>
      <c r="E62" s="60">
        <f t="shared" ref="E62:E63" si="12">+(C62-C$7)/C$8</f>
        <v>32844.15139355127</v>
      </c>
      <c r="F62" s="29">
        <f t="shared" ref="F62:F63" si="13">ROUND(2*E62,0)/2</f>
        <v>32844</v>
      </c>
      <c r="G62" s="29">
        <f t="shared" ref="G62:G63" si="14">+C62-(C$7+F62*C$8)</f>
        <v>9.2772000105469488E-2</v>
      </c>
      <c r="H62" s="29"/>
      <c r="I62" s="29"/>
      <c r="K62" s="29">
        <f t="shared" ref="K62:K63" si="15">G62</f>
        <v>9.2772000105469488E-2</v>
      </c>
      <c r="L62" s="29"/>
      <c r="M62" s="29"/>
      <c r="N62" s="29"/>
      <c r="O62" s="29">
        <f t="shared" ref="O62:O63" ca="1" si="16">+C$11+C$12*F62</f>
        <v>0.10123994415398507</v>
      </c>
      <c r="P62" s="29"/>
      <c r="Q62" s="31">
        <f t="shared" ref="Q62:Q63" si="17">+C62-15018.5</f>
        <v>44834.529000000097</v>
      </c>
    </row>
    <row r="63" spans="1:21" ht="12" customHeight="1" x14ac:dyDescent="0.2">
      <c r="A63" s="83" t="s">
        <v>167</v>
      </c>
      <c r="B63" s="84" t="s">
        <v>38</v>
      </c>
      <c r="C63" s="86">
        <v>59853.035000000149</v>
      </c>
      <c r="D63" s="83"/>
      <c r="E63" s="60">
        <f t="shared" si="12"/>
        <v>32844.161184881785</v>
      </c>
      <c r="F63" s="29">
        <f t="shared" si="13"/>
        <v>32844</v>
      </c>
      <c r="G63" s="29">
        <f t="shared" si="14"/>
        <v>9.8772000157623552E-2</v>
      </c>
      <c r="H63" s="29"/>
      <c r="I63" s="29"/>
      <c r="K63" s="29">
        <f t="shared" si="15"/>
        <v>9.8772000157623552E-2</v>
      </c>
      <c r="L63" s="29"/>
      <c r="M63" s="29"/>
      <c r="N63" s="29"/>
      <c r="O63" s="29">
        <f t="shared" ca="1" si="16"/>
        <v>0.10123994415398507</v>
      </c>
      <c r="P63" s="29"/>
      <c r="Q63" s="31">
        <f t="shared" si="17"/>
        <v>44834.535000000149</v>
      </c>
    </row>
    <row r="64" spans="1:21" ht="12" customHeight="1" x14ac:dyDescent="0.2">
      <c r="C64" s="42"/>
      <c r="D64" s="42"/>
    </row>
    <row r="65" spans="3:4" x14ac:dyDescent="0.2">
      <c r="C65" s="42"/>
      <c r="D65" s="42"/>
    </row>
    <row r="66" spans="3:4" x14ac:dyDescent="0.2">
      <c r="C66" s="42"/>
      <c r="D66" s="42"/>
    </row>
    <row r="67" spans="3:4" x14ac:dyDescent="0.2">
      <c r="C67" s="42"/>
      <c r="D67" s="42"/>
    </row>
    <row r="68" spans="3:4" x14ac:dyDescent="0.2">
      <c r="C68" s="42"/>
      <c r="D68" s="42"/>
    </row>
    <row r="69" spans="3:4" x14ac:dyDescent="0.2">
      <c r="C69" s="42"/>
      <c r="D69" s="42"/>
    </row>
    <row r="70" spans="3:4" x14ac:dyDescent="0.2">
      <c r="C70" s="42"/>
      <c r="D70" s="42"/>
    </row>
    <row r="71" spans="3:4" x14ac:dyDescent="0.2">
      <c r="C71" s="42"/>
      <c r="D71" s="42"/>
    </row>
    <row r="72" spans="3:4" x14ac:dyDescent="0.2">
      <c r="C72" s="42"/>
      <c r="D72" s="42"/>
    </row>
    <row r="73" spans="3:4" x14ac:dyDescent="0.2">
      <c r="C73" s="42"/>
      <c r="D73" s="42"/>
    </row>
    <row r="74" spans="3:4" x14ac:dyDescent="0.2">
      <c r="C74" s="42"/>
      <c r="D74" s="42"/>
    </row>
    <row r="75" spans="3:4" x14ac:dyDescent="0.2">
      <c r="C75" s="42"/>
      <c r="D75" s="42"/>
    </row>
    <row r="76" spans="3:4" x14ac:dyDescent="0.2">
      <c r="C76" s="42"/>
      <c r="D76" s="42"/>
    </row>
    <row r="77" spans="3:4" x14ac:dyDescent="0.2">
      <c r="C77" s="42"/>
      <c r="D77" s="42"/>
    </row>
    <row r="78" spans="3:4" x14ac:dyDescent="0.2">
      <c r="C78" s="42"/>
      <c r="D78" s="42"/>
    </row>
    <row r="79" spans="3:4" x14ac:dyDescent="0.2">
      <c r="C79" s="42"/>
      <c r="D79" s="42"/>
    </row>
    <row r="80" spans="3:4" x14ac:dyDescent="0.2">
      <c r="C80" s="42"/>
      <c r="D80" s="42"/>
    </row>
    <row r="81" spans="3:4" x14ac:dyDescent="0.2">
      <c r="C81" s="42"/>
      <c r="D81" s="42"/>
    </row>
    <row r="82" spans="3:4" x14ac:dyDescent="0.2">
      <c r="C82" s="42"/>
      <c r="D82" s="42"/>
    </row>
    <row r="83" spans="3:4" x14ac:dyDescent="0.2">
      <c r="C83" s="42"/>
      <c r="D83" s="42"/>
    </row>
    <row r="84" spans="3:4" x14ac:dyDescent="0.2">
      <c r="C84" s="42"/>
      <c r="D84" s="42"/>
    </row>
    <row r="85" spans="3:4" x14ac:dyDescent="0.2">
      <c r="C85" s="42"/>
      <c r="D85" s="42"/>
    </row>
    <row r="86" spans="3:4" x14ac:dyDescent="0.2">
      <c r="C86" s="42"/>
      <c r="D86" s="42"/>
    </row>
    <row r="87" spans="3:4" x14ac:dyDescent="0.2">
      <c r="C87" s="42"/>
      <c r="D87" s="42"/>
    </row>
    <row r="88" spans="3:4" x14ac:dyDescent="0.2">
      <c r="C88" s="42"/>
      <c r="D88" s="42"/>
    </row>
    <row r="89" spans="3:4" x14ac:dyDescent="0.2">
      <c r="C89" s="42"/>
      <c r="D89" s="42"/>
    </row>
    <row r="90" spans="3:4" x14ac:dyDescent="0.2">
      <c r="C90" s="42"/>
      <c r="D90" s="42"/>
    </row>
    <row r="91" spans="3:4" x14ac:dyDescent="0.2">
      <c r="C91" s="42"/>
      <c r="D91" s="42"/>
    </row>
    <row r="92" spans="3:4" x14ac:dyDescent="0.2">
      <c r="C92" s="42"/>
      <c r="D92" s="42"/>
    </row>
    <row r="93" spans="3:4" x14ac:dyDescent="0.2">
      <c r="C93" s="42"/>
      <c r="D93" s="42"/>
    </row>
    <row r="94" spans="3:4" x14ac:dyDescent="0.2">
      <c r="C94" s="42"/>
      <c r="D94" s="42"/>
    </row>
    <row r="95" spans="3:4" x14ac:dyDescent="0.2">
      <c r="C95" s="42"/>
      <c r="D95" s="42"/>
    </row>
    <row r="96" spans="3:4" x14ac:dyDescent="0.2">
      <c r="C96" s="42"/>
      <c r="D96" s="42"/>
    </row>
    <row r="97" spans="3:4" x14ac:dyDescent="0.2">
      <c r="C97" s="42"/>
      <c r="D97" s="42"/>
    </row>
    <row r="98" spans="3:4" x14ac:dyDescent="0.2">
      <c r="C98" s="42"/>
      <c r="D98" s="42"/>
    </row>
    <row r="99" spans="3:4" x14ac:dyDescent="0.2">
      <c r="C99" s="42"/>
      <c r="D99" s="42"/>
    </row>
    <row r="100" spans="3:4" x14ac:dyDescent="0.2">
      <c r="C100" s="42"/>
      <c r="D100" s="42"/>
    </row>
    <row r="101" spans="3:4" x14ac:dyDescent="0.2">
      <c r="C101" s="42"/>
      <c r="D101" s="42"/>
    </row>
    <row r="102" spans="3:4" x14ac:dyDescent="0.2">
      <c r="C102" s="42"/>
      <c r="D102" s="42"/>
    </row>
    <row r="103" spans="3:4" x14ac:dyDescent="0.2">
      <c r="C103" s="42"/>
      <c r="D103" s="42"/>
    </row>
    <row r="104" spans="3:4" x14ac:dyDescent="0.2">
      <c r="C104" s="42"/>
      <c r="D104" s="42"/>
    </row>
    <row r="105" spans="3:4" x14ac:dyDescent="0.2">
      <c r="C105" s="42"/>
      <c r="D105" s="42"/>
    </row>
    <row r="106" spans="3:4" x14ac:dyDescent="0.2">
      <c r="C106" s="42"/>
      <c r="D106" s="42"/>
    </row>
    <row r="107" spans="3:4" x14ac:dyDescent="0.2">
      <c r="C107" s="42"/>
      <c r="D107" s="42"/>
    </row>
    <row r="108" spans="3:4" x14ac:dyDescent="0.2">
      <c r="C108" s="42"/>
      <c r="D108" s="42"/>
    </row>
    <row r="109" spans="3:4" x14ac:dyDescent="0.2">
      <c r="C109" s="42"/>
      <c r="D109" s="42"/>
    </row>
    <row r="110" spans="3:4" x14ac:dyDescent="0.2">
      <c r="C110" s="42"/>
      <c r="D110" s="42"/>
    </row>
    <row r="111" spans="3:4" x14ac:dyDescent="0.2">
      <c r="C111" s="42"/>
      <c r="D111" s="42"/>
    </row>
    <row r="112" spans="3:4" x14ac:dyDescent="0.2">
      <c r="C112" s="42"/>
      <c r="D112" s="42"/>
    </row>
    <row r="113" spans="3:4" x14ac:dyDescent="0.2">
      <c r="C113" s="42"/>
      <c r="D113" s="42"/>
    </row>
    <row r="114" spans="3:4" x14ac:dyDescent="0.2">
      <c r="C114" s="42"/>
      <c r="D114" s="42"/>
    </row>
    <row r="115" spans="3:4" x14ac:dyDescent="0.2">
      <c r="C115" s="42"/>
      <c r="D115" s="42"/>
    </row>
    <row r="116" spans="3:4" x14ac:dyDescent="0.2">
      <c r="C116" s="42"/>
      <c r="D116" s="42"/>
    </row>
    <row r="117" spans="3:4" x14ac:dyDescent="0.2">
      <c r="C117" s="42"/>
      <c r="D117" s="42"/>
    </row>
    <row r="118" spans="3:4" x14ac:dyDescent="0.2">
      <c r="C118" s="42"/>
      <c r="D118" s="42"/>
    </row>
    <row r="119" spans="3:4" x14ac:dyDescent="0.2">
      <c r="C119" s="42"/>
      <c r="D119" s="42"/>
    </row>
    <row r="120" spans="3:4" x14ac:dyDescent="0.2">
      <c r="C120" s="42"/>
      <c r="D120" s="42"/>
    </row>
    <row r="121" spans="3:4" x14ac:dyDescent="0.2">
      <c r="C121" s="42"/>
      <c r="D121" s="42"/>
    </row>
    <row r="122" spans="3:4" x14ac:dyDescent="0.2">
      <c r="C122" s="42"/>
      <c r="D122" s="42"/>
    </row>
    <row r="123" spans="3:4" x14ac:dyDescent="0.2">
      <c r="C123" s="42"/>
      <c r="D123" s="42"/>
    </row>
    <row r="124" spans="3:4" x14ac:dyDescent="0.2">
      <c r="C124" s="42"/>
      <c r="D124" s="42"/>
    </row>
    <row r="125" spans="3:4" x14ac:dyDescent="0.2">
      <c r="C125" s="42"/>
      <c r="D125" s="42"/>
    </row>
    <row r="126" spans="3:4" x14ac:dyDescent="0.2">
      <c r="C126" s="42"/>
      <c r="D126" s="42"/>
    </row>
    <row r="127" spans="3:4" x14ac:dyDescent="0.2">
      <c r="C127" s="42"/>
      <c r="D127" s="42"/>
    </row>
    <row r="128" spans="3:4" x14ac:dyDescent="0.2">
      <c r="C128" s="42"/>
      <c r="D128" s="42"/>
    </row>
    <row r="129" spans="3:4" x14ac:dyDescent="0.2">
      <c r="C129" s="42"/>
      <c r="D129" s="42"/>
    </row>
    <row r="130" spans="3:4" x14ac:dyDescent="0.2">
      <c r="C130" s="42"/>
      <c r="D130" s="42"/>
    </row>
    <row r="131" spans="3:4" x14ac:dyDescent="0.2">
      <c r="C131" s="42"/>
      <c r="D131" s="42"/>
    </row>
    <row r="132" spans="3:4" x14ac:dyDescent="0.2">
      <c r="C132" s="42"/>
      <c r="D132" s="42"/>
    </row>
    <row r="133" spans="3:4" x14ac:dyDescent="0.2">
      <c r="C133" s="42"/>
      <c r="D133" s="42"/>
    </row>
    <row r="134" spans="3:4" x14ac:dyDescent="0.2">
      <c r="C134" s="42"/>
      <c r="D134" s="42"/>
    </row>
    <row r="135" spans="3:4" x14ac:dyDescent="0.2">
      <c r="C135" s="42"/>
      <c r="D135" s="42"/>
    </row>
    <row r="136" spans="3:4" x14ac:dyDescent="0.2">
      <c r="C136" s="42"/>
      <c r="D136" s="42"/>
    </row>
    <row r="137" spans="3:4" x14ac:dyDescent="0.2">
      <c r="C137" s="42"/>
      <c r="D137" s="42"/>
    </row>
    <row r="138" spans="3:4" x14ac:dyDescent="0.2">
      <c r="C138" s="42"/>
      <c r="D138" s="42"/>
    </row>
    <row r="139" spans="3:4" x14ac:dyDescent="0.2">
      <c r="C139" s="42"/>
      <c r="D139" s="42"/>
    </row>
    <row r="140" spans="3:4" x14ac:dyDescent="0.2">
      <c r="C140" s="42"/>
      <c r="D140" s="42"/>
    </row>
    <row r="141" spans="3:4" x14ac:dyDescent="0.2">
      <c r="C141" s="42"/>
      <c r="D141" s="42"/>
    </row>
    <row r="142" spans="3:4" x14ac:dyDescent="0.2">
      <c r="C142" s="42"/>
      <c r="D142" s="42"/>
    </row>
    <row r="143" spans="3:4" x14ac:dyDescent="0.2">
      <c r="C143" s="42"/>
      <c r="D143" s="42"/>
    </row>
    <row r="144" spans="3:4" x14ac:dyDescent="0.2">
      <c r="C144" s="42"/>
      <c r="D144" s="42"/>
    </row>
    <row r="145" spans="3:4" x14ac:dyDescent="0.2">
      <c r="C145" s="42"/>
      <c r="D145" s="42"/>
    </row>
    <row r="146" spans="3:4" x14ac:dyDescent="0.2">
      <c r="C146" s="42"/>
      <c r="D146" s="42"/>
    </row>
    <row r="147" spans="3:4" x14ac:dyDescent="0.2">
      <c r="C147" s="42"/>
      <c r="D147" s="42"/>
    </row>
    <row r="148" spans="3:4" x14ac:dyDescent="0.2">
      <c r="C148" s="42"/>
      <c r="D148" s="42"/>
    </row>
    <row r="149" spans="3:4" x14ac:dyDescent="0.2">
      <c r="C149" s="42"/>
      <c r="D149" s="42"/>
    </row>
    <row r="150" spans="3:4" x14ac:dyDescent="0.2">
      <c r="C150" s="42"/>
      <c r="D150" s="42"/>
    </row>
    <row r="151" spans="3:4" x14ac:dyDescent="0.2">
      <c r="C151" s="42"/>
      <c r="D151" s="42"/>
    </row>
    <row r="152" spans="3:4" x14ac:dyDescent="0.2">
      <c r="C152" s="42"/>
      <c r="D152" s="42"/>
    </row>
    <row r="153" spans="3:4" x14ac:dyDescent="0.2">
      <c r="C153" s="42"/>
      <c r="D153" s="42"/>
    </row>
    <row r="154" spans="3:4" x14ac:dyDescent="0.2">
      <c r="C154" s="42"/>
      <c r="D154" s="42"/>
    </row>
    <row r="155" spans="3:4" x14ac:dyDescent="0.2">
      <c r="C155" s="42"/>
      <c r="D155" s="42"/>
    </row>
    <row r="156" spans="3:4" x14ac:dyDescent="0.2">
      <c r="C156" s="42"/>
      <c r="D156" s="42"/>
    </row>
    <row r="157" spans="3:4" x14ac:dyDescent="0.2">
      <c r="C157" s="42"/>
      <c r="D157" s="42"/>
    </row>
    <row r="158" spans="3:4" x14ac:dyDescent="0.2">
      <c r="C158" s="42"/>
      <c r="D158" s="42"/>
    </row>
    <row r="159" spans="3:4" x14ac:dyDescent="0.2">
      <c r="C159" s="42"/>
      <c r="D159" s="42"/>
    </row>
    <row r="160" spans="3:4" x14ac:dyDescent="0.2">
      <c r="C160" s="42"/>
      <c r="D160" s="42"/>
    </row>
    <row r="161" spans="3:4" x14ac:dyDescent="0.2">
      <c r="C161" s="42"/>
      <c r="D161" s="42"/>
    </row>
    <row r="162" spans="3:4" x14ac:dyDescent="0.2">
      <c r="C162" s="42"/>
      <c r="D162" s="42"/>
    </row>
    <row r="163" spans="3:4" x14ac:dyDescent="0.2">
      <c r="C163" s="42"/>
      <c r="D163" s="42"/>
    </row>
    <row r="164" spans="3:4" x14ac:dyDescent="0.2">
      <c r="C164" s="42"/>
      <c r="D164" s="42"/>
    </row>
    <row r="165" spans="3:4" x14ac:dyDescent="0.2">
      <c r="C165" s="42"/>
      <c r="D165" s="42"/>
    </row>
    <row r="166" spans="3:4" x14ac:dyDescent="0.2">
      <c r="C166" s="42"/>
      <c r="D166" s="42"/>
    </row>
    <row r="167" spans="3:4" x14ac:dyDescent="0.2">
      <c r="C167" s="42"/>
      <c r="D167" s="42"/>
    </row>
    <row r="168" spans="3:4" x14ac:dyDescent="0.2">
      <c r="C168" s="42"/>
      <c r="D168" s="42"/>
    </row>
    <row r="169" spans="3:4" x14ac:dyDescent="0.2">
      <c r="C169" s="42"/>
      <c r="D169" s="42"/>
    </row>
    <row r="170" spans="3:4" x14ac:dyDescent="0.2">
      <c r="C170" s="42"/>
      <c r="D170" s="42"/>
    </row>
    <row r="171" spans="3:4" x14ac:dyDescent="0.2">
      <c r="C171" s="42"/>
      <c r="D171" s="42"/>
    </row>
    <row r="172" spans="3:4" x14ac:dyDescent="0.2">
      <c r="C172" s="42"/>
      <c r="D172" s="42"/>
    </row>
    <row r="173" spans="3:4" x14ac:dyDescent="0.2">
      <c r="C173" s="42"/>
      <c r="D173" s="42"/>
    </row>
    <row r="174" spans="3:4" x14ac:dyDescent="0.2">
      <c r="C174" s="42"/>
      <c r="D174" s="42"/>
    </row>
    <row r="175" spans="3:4" x14ac:dyDescent="0.2">
      <c r="C175" s="42"/>
      <c r="D175" s="42"/>
    </row>
    <row r="176" spans="3:4" x14ac:dyDescent="0.2">
      <c r="C176" s="42"/>
      <c r="D176" s="42"/>
    </row>
    <row r="177" spans="3:4" x14ac:dyDescent="0.2">
      <c r="C177" s="42"/>
      <c r="D177" s="42"/>
    </row>
    <row r="178" spans="3:4" x14ac:dyDescent="0.2">
      <c r="C178" s="42"/>
      <c r="D178" s="42"/>
    </row>
    <row r="179" spans="3:4" x14ac:dyDescent="0.2">
      <c r="C179" s="42"/>
      <c r="D179" s="42"/>
    </row>
    <row r="180" spans="3:4" x14ac:dyDescent="0.2">
      <c r="C180" s="42"/>
      <c r="D180" s="42"/>
    </row>
    <row r="181" spans="3:4" x14ac:dyDescent="0.2">
      <c r="C181" s="42"/>
      <c r="D181" s="42"/>
    </row>
    <row r="182" spans="3:4" x14ac:dyDescent="0.2">
      <c r="C182" s="42"/>
      <c r="D182" s="42"/>
    </row>
    <row r="183" spans="3:4" x14ac:dyDescent="0.2">
      <c r="C183" s="42"/>
      <c r="D183" s="42"/>
    </row>
    <row r="184" spans="3:4" x14ac:dyDescent="0.2">
      <c r="C184" s="42"/>
      <c r="D184" s="42"/>
    </row>
    <row r="185" spans="3:4" x14ac:dyDescent="0.2">
      <c r="C185" s="42"/>
      <c r="D185" s="42"/>
    </row>
    <row r="186" spans="3:4" x14ac:dyDescent="0.2">
      <c r="C186" s="42"/>
      <c r="D186" s="42"/>
    </row>
    <row r="187" spans="3:4" x14ac:dyDescent="0.2">
      <c r="C187" s="42"/>
      <c r="D187" s="42"/>
    </row>
    <row r="188" spans="3:4" x14ac:dyDescent="0.2">
      <c r="C188" s="42"/>
      <c r="D188" s="42"/>
    </row>
    <row r="189" spans="3:4" x14ac:dyDescent="0.2">
      <c r="C189" s="42"/>
      <c r="D189" s="42"/>
    </row>
    <row r="190" spans="3:4" x14ac:dyDescent="0.2">
      <c r="C190" s="42"/>
      <c r="D190" s="42"/>
    </row>
    <row r="191" spans="3:4" x14ac:dyDescent="0.2">
      <c r="C191" s="42"/>
      <c r="D191" s="42"/>
    </row>
    <row r="192" spans="3:4" x14ac:dyDescent="0.2">
      <c r="C192" s="42"/>
      <c r="D192" s="42"/>
    </row>
    <row r="193" spans="3:4" x14ac:dyDescent="0.2">
      <c r="C193" s="42"/>
      <c r="D193" s="42"/>
    </row>
    <row r="194" spans="3:4" x14ac:dyDescent="0.2">
      <c r="C194" s="42"/>
      <c r="D194" s="42"/>
    </row>
    <row r="195" spans="3:4" x14ac:dyDescent="0.2">
      <c r="C195" s="42"/>
      <c r="D195" s="42"/>
    </row>
    <row r="196" spans="3:4" x14ac:dyDescent="0.2">
      <c r="C196" s="42"/>
      <c r="D196" s="42"/>
    </row>
    <row r="197" spans="3:4" x14ac:dyDescent="0.2">
      <c r="C197" s="42"/>
      <c r="D197" s="42"/>
    </row>
    <row r="198" spans="3:4" x14ac:dyDescent="0.2">
      <c r="C198" s="42"/>
      <c r="D198" s="42"/>
    </row>
    <row r="199" spans="3:4" x14ac:dyDescent="0.2">
      <c r="C199" s="42"/>
      <c r="D199" s="42"/>
    </row>
    <row r="200" spans="3:4" x14ac:dyDescent="0.2">
      <c r="C200" s="42"/>
      <c r="D200" s="42"/>
    </row>
    <row r="201" spans="3:4" x14ac:dyDescent="0.2">
      <c r="C201" s="42"/>
      <c r="D201" s="42"/>
    </row>
    <row r="202" spans="3:4" x14ac:dyDescent="0.2">
      <c r="C202" s="42"/>
      <c r="D202" s="42"/>
    </row>
    <row r="203" spans="3:4" x14ac:dyDescent="0.2">
      <c r="C203" s="42"/>
      <c r="D203" s="42"/>
    </row>
    <row r="204" spans="3:4" x14ac:dyDescent="0.2">
      <c r="C204" s="42"/>
      <c r="D204" s="42"/>
    </row>
    <row r="205" spans="3:4" x14ac:dyDescent="0.2">
      <c r="C205" s="42"/>
      <c r="D205" s="42"/>
    </row>
    <row r="206" spans="3:4" x14ac:dyDescent="0.2">
      <c r="C206" s="42"/>
      <c r="D206" s="42"/>
    </row>
    <row r="207" spans="3:4" x14ac:dyDescent="0.2">
      <c r="C207" s="42"/>
      <c r="D207" s="42"/>
    </row>
    <row r="208" spans="3:4" x14ac:dyDescent="0.2">
      <c r="C208" s="42"/>
      <c r="D208" s="42"/>
    </row>
    <row r="209" spans="3:4" x14ac:dyDescent="0.2">
      <c r="C209" s="42"/>
      <c r="D209" s="42"/>
    </row>
    <row r="210" spans="3:4" x14ac:dyDescent="0.2">
      <c r="C210" s="42"/>
      <c r="D210" s="42"/>
    </row>
    <row r="211" spans="3:4" x14ac:dyDescent="0.2">
      <c r="C211" s="42"/>
      <c r="D211" s="42"/>
    </row>
    <row r="212" spans="3:4" x14ac:dyDescent="0.2">
      <c r="C212" s="42"/>
      <c r="D212" s="42"/>
    </row>
    <row r="213" spans="3:4" x14ac:dyDescent="0.2">
      <c r="C213" s="42"/>
      <c r="D213" s="42"/>
    </row>
    <row r="214" spans="3:4" x14ac:dyDescent="0.2">
      <c r="C214" s="42"/>
      <c r="D214" s="42"/>
    </row>
    <row r="215" spans="3:4" x14ac:dyDescent="0.2">
      <c r="C215" s="42"/>
      <c r="D215" s="42"/>
    </row>
    <row r="216" spans="3:4" x14ac:dyDescent="0.2">
      <c r="C216" s="42"/>
      <c r="D216" s="42"/>
    </row>
    <row r="217" spans="3:4" x14ac:dyDescent="0.2">
      <c r="C217" s="42"/>
      <c r="D217" s="42"/>
    </row>
    <row r="218" spans="3:4" x14ac:dyDescent="0.2">
      <c r="C218" s="42"/>
      <c r="D218" s="42"/>
    </row>
    <row r="219" spans="3:4" x14ac:dyDescent="0.2">
      <c r="C219" s="42"/>
      <c r="D219" s="42"/>
    </row>
    <row r="220" spans="3:4" x14ac:dyDescent="0.2">
      <c r="C220" s="42"/>
      <c r="D220" s="42"/>
    </row>
    <row r="221" spans="3:4" x14ac:dyDescent="0.2">
      <c r="C221" s="42"/>
      <c r="D221" s="42"/>
    </row>
    <row r="222" spans="3:4" x14ac:dyDescent="0.2">
      <c r="C222" s="42"/>
      <c r="D222" s="42"/>
    </row>
    <row r="223" spans="3:4" x14ac:dyDescent="0.2">
      <c r="C223" s="42"/>
      <c r="D223" s="42"/>
    </row>
    <row r="224" spans="3:4" x14ac:dyDescent="0.2">
      <c r="C224" s="42"/>
      <c r="D224" s="42"/>
    </row>
    <row r="225" spans="3:4" x14ac:dyDescent="0.2">
      <c r="C225" s="42"/>
      <c r="D225" s="42"/>
    </row>
    <row r="226" spans="3:4" x14ac:dyDescent="0.2">
      <c r="C226" s="42"/>
      <c r="D226" s="42"/>
    </row>
    <row r="227" spans="3:4" x14ac:dyDescent="0.2">
      <c r="C227" s="42"/>
      <c r="D227" s="42"/>
    </row>
    <row r="228" spans="3:4" x14ac:dyDescent="0.2">
      <c r="C228" s="42"/>
      <c r="D228" s="42"/>
    </row>
    <row r="229" spans="3:4" x14ac:dyDescent="0.2">
      <c r="C229" s="42"/>
      <c r="D229" s="42"/>
    </row>
    <row r="230" spans="3:4" x14ac:dyDescent="0.2">
      <c r="C230" s="42"/>
      <c r="D230" s="42"/>
    </row>
    <row r="231" spans="3:4" x14ac:dyDescent="0.2">
      <c r="C231" s="42"/>
      <c r="D231" s="42"/>
    </row>
    <row r="232" spans="3:4" x14ac:dyDescent="0.2">
      <c r="C232" s="42"/>
      <c r="D232" s="42"/>
    </row>
    <row r="233" spans="3:4" x14ac:dyDescent="0.2">
      <c r="C233" s="42"/>
      <c r="D233" s="42"/>
    </row>
    <row r="234" spans="3:4" x14ac:dyDescent="0.2">
      <c r="C234" s="42"/>
      <c r="D234" s="42"/>
    </row>
    <row r="235" spans="3:4" x14ac:dyDescent="0.2">
      <c r="C235" s="42"/>
      <c r="D235" s="42"/>
    </row>
    <row r="236" spans="3:4" x14ac:dyDescent="0.2">
      <c r="C236" s="42"/>
      <c r="D236" s="42"/>
    </row>
    <row r="237" spans="3:4" x14ac:dyDescent="0.2">
      <c r="C237" s="42"/>
      <c r="D237" s="42"/>
    </row>
    <row r="238" spans="3:4" x14ac:dyDescent="0.2">
      <c r="C238" s="42"/>
      <c r="D238" s="42"/>
    </row>
    <row r="239" spans="3:4" x14ac:dyDescent="0.2">
      <c r="C239" s="42"/>
      <c r="D239" s="42"/>
    </row>
    <row r="240" spans="3:4" x14ac:dyDescent="0.2">
      <c r="C240" s="42"/>
      <c r="D240" s="42"/>
    </row>
    <row r="241" spans="3:4" x14ac:dyDescent="0.2">
      <c r="C241" s="42"/>
      <c r="D241" s="42"/>
    </row>
    <row r="242" spans="3:4" x14ac:dyDescent="0.2">
      <c r="C242" s="42"/>
      <c r="D242" s="42"/>
    </row>
    <row r="243" spans="3:4" x14ac:dyDescent="0.2">
      <c r="C243" s="42"/>
      <c r="D243" s="42"/>
    </row>
    <row r="244" spans="3:4" x14ac:dyDescent="0.2">
      <c r="C244" s="42"/>
      <c r="D244" s="42"/>
    </row>
    <row r="245" spans="3:4" x14ac:dyDescent="0.2">
      <c r="C245" s="42"/>
      <c r="D245" s="42"/>
    </row>
    <row r="246" spans="3:4" x14ac:dyDescent="0.2">
      <c r="C246" s="42"/>
      <c r="D246" s="42"/>
    </row>
    <row r="247" spans="3:4" x14ac:dyDescent="0.2">
      <c r="C247" s="42"/>
      <c r="D247" s="42"/>
    </row>
    <row r="248" spans="3:4" x14ac:dyDescent="0.2">
      <c r="C248" s="42"/>
      <c r="D248" s="42"/>
    </row>
    <row r="249" spans="3:4" x14ac:dyDescent="0.2">
      <c r="C249" s="42"/>
      <c r="D249" s="42"/>
    </row>
    <row r="250" spans="3:4" x14ac:dyDescent="0.2">
      <c r="C250" s="42"/>
      <c r="D250" s="42"/>
    </row>
    <row r="251" spans="3:4" x14ac:dyDescent="0.2">
      <c r="C251" s="42"/>
      <c r="D251" s="42"/>
    </row>
    <row r="252" spans="3:4" x14ac:dyDescent="0.2">
      <c r="C252" s="42"/>
      <c r="D252" s="42"/>
    </row>
    <row r="253" spans="3:4" x14ac:dyDescent="0.2">
      <c r="C253" s="42"/>
      <c r="D253" s="42"/>
    </row>
    <row r="254" spans="3:4" x14ac:dyDescent="0.2">
      <c r="C254" s="42"/>
      <c r="D254" s="42"/>
    </row>
    <row r="255" spans="3:4" x14ac:dyDescent="0.2">
      <c r="C255" s="42"/>
      <c r="D255" s="42"/>
    </row>
    <row r="256" spans="3:4" x14ac:dyDescent="0.2">
      <c r="C256" s="42"/>
      <c r="D256" s="42"/>
    </row>
    <row r="257" spans="3:4" x14ac:dyDescent="0.2">
      <c r="C257" s="42"/>
      <c r="D257" s="42"/>
    </row>
    <row r="258" spans="3:4" x14ac:dyDescent="0.2">
      <c r="C258" s="42"/>
      <c r="D258" s="42"/>
    </row>
    <row r="259" spans="3:4" x14ac:dyDescent="0.2">
      <c r="C259" s="42"/>
      <c r="D259" s="42"/>
    </row>
    <row r="260" spans="3:4" x14ac:dyDescent="0.2">
      <c r="C260" s="42"/>
      <c r="D260" s="42"/>
    </row>
    <row r="261" spans="3:4" x14ac:dyDescent="0.2">
      <c r="C261" s="42"/>
      <c r="D261" s="42"/>
    </row>
    <row r="262" spans="3:4" x14ac:dyDescent="0.2">
      <c r="C262" s="42"/>
      <c r="D262" s="42"/>
    </row>
    <row r="263" spans="3:4" x14ac:dyDescent="0.2">
      <c r="C263" s="42"/>
      <c r="D263" s="42"/>
    </row>
    <row r="264" spans="3:4" x14ac:dyDescent="0.2">
      <c r="C264" s="42"/>
      <c r="D264" s="42"/>
    </row>
    <row r="265" spans="3:4" x14ac:dyDescent="0.2">
      <c r="C265" s="42"/>
      <c r="D265" s="42"/>
    </row>
    <row r="266" spans="3:4" x14ac:dyDescent="0.2">
      <c r="C266" s="42"/>
      <c r="D266" s="42"/>
    </row>
    <row r="267" spans="3:4" x14ac:dyDescent="0.2">
      <c r="C267" s="42"/>
      <c r="D267" s="42"/>
    </row>
    <row r="268" spans="3:4" x14ac:dyDescent="0.2">
      <c r="C268" s="42"/>
      <c r="D268" s="42"/>
    </row>
    <row r="269" spans="3:4" x14ac:dyDescent="0.2">
      <c r="C269" s="42"/>
      <c r="D269" s="42"/>
    </row>
    <row r="270" spans="3:4" x14ac:dyDescent="0.2">
      <c r="C270" s="42"/>
      <c r="D270" s="42"/>
    </row>
    <row r="271" spans="3:4" x14ac:dyDescent="0.2">
      <c r="C271" s="42"/>
      <c r="D271" s="42"/>
    </row>
    <row r="272" spans="3:4" x14ac:dyDescent="0.2">
      <c r="C272" s="42"/>
      <c r="D272" s="42"/>
    </row>
    <row r="273" spans="3:4" x14ac:dyDescent="0.2">
      <c r="C273" s="42"/>
      <c r="D273" s="42"/>
    </row>
    <row r="274" spans="3:4" x14ac:dyDescent="0.2">
      <c r="C274" s="42"/>
      <c r="D274" s="42"/>
    </row>
    <row r="275" spans="3:4" x14ac:dyDescent="0.2">
      <c r="C275" s="42"/>
      <c r="D275" s="42"/>
    </row>
    <row r="276" spans="3:4" x14ac:dyDescent="0.2">
      <c r="C276" s="42"/>
      <c r="D276" s="42"/>
    </row>
  </sheetData>
  <protectedRanges>
    <protectedRange sqref="A54:D54" name="Range1"/>
  </protectedRanges>
  <sortState xmlns:xlrd2="http://schemas.microsoft.com/office/spreadsheetml/2017/richdata2" ref="A21:AF60">
    <sortCondition ref="C21:C60"/>
  </sortState>
  <phoneticPr fontId="8" type="noConversion"/>
  <hyperlinks>
    <hyperlink ref="H64791" r:id="rId1" display="http://vsolj.cetus-net.org/bulletin.html" xr:uid="{00000000-0004-0000-0000-000000000000}"/>
    <hyperlink ref="H64784" r:id="rId2" display="http://vsolj.cetus-net.org/bulletin.html" xr:uid="{00000000-0004-0000-0000-000001000000}"/>
    <hyperlink ref="AP2281" r:id="rId3" display="http://cdsbib.u-strasbg.fr/cgi-bin/cdsbib?1990RMxAA..21..381G" xr:uid="{00000000-0004-0000-0000-000002000000}"/>
    <hyperlink ref="AP2284" r:id="rId4" display="http://cdsbib.u-strasbg.fr/cgi-bin/cdsbib?1990RMxAA..21..381G" xr:uid="{00000000-0004-0000-0000-000003000000}"/>
    <hyperlink ref="AP2282" r:id="rId5" display="http://cdsbib.u-strasbg.fr/cgi-bin/cdsbib?1990RMxAA..21..381G" xr:uid="{00000000-0004-0000-0000-000004000000}"/>
    <hyperlink ref="AP2260" r:id="rId6" display="http://cdsbib.u-strasbg.fr/cgi-bin/cdsbib?1990RMxAA..21..381G" xr:uid="{00000000-0004-0000-0000-000005000000}"/>
    <hyperlink ref="I64791" r:id="rId7" display="http://vsolj.cetus-net.org/bulletin.html" xr:uid="{00000000-0004-0000-0000-000006000000}"/>
    <hyperlink ref="AQ2394" r:id="rId8" display="http://cdsbib.u-strasbg.fr/cgi-bin/cdsbib?1990RMxAA..21..381G" xr:uid="{00000000-0004-0000-0000-000007000000}"/>
    <hyperlink ref="AQ663" r:id="rId9" display="http://cdsbib.u-strasbg.fr/cgi-bin/cdsbib?1990RMxAA..21..381G" xr:uid="{00000000-0004-0000-0000-000008000000}"/>
    <hyperlink ref="AQ2395" r:id="rId10" display="http://cdsbib.u-strasbg.fr/cgi-bin/cdsbib?1990RMxAA..21..381G" xr:uid="{00000000-0004-0000-0000-000009000000}"/>
    <hyperlink ref="H64788" r:id="rId11" display="https://www.aavso.org/ejaavso" xr:uid="{00000000-0004-0000-0000-00000A000000}"/>
    <hyperlink ref="H64986" r:id="rId12" display="http://vsolj.cetus-net.org/bulletin.html" xr:uid="{00000000-0004-0000-0000-00000B000000}"/>
    <hyperlink ref="H64979" r:id="rId13" display="https://www.aavso.org/ejaavso" xr:uid="{00000000-0004-0000-0000-00000C000000}"/>
    <hyperlink ref="I64986" r:id="rId14" display="http://vsolj.cetus-net.org/bulletin.html" xr:uid="{00000000-0004-0000-0000-00000D000000}"/>
    <hyperlink ref="AQ58637" r:id="rId15" display="http://cdsbib.u-strasbg.fr/cgi-bin/cdsbib?1990RMxAA..21..381G" xr:uid="{00000000-0004-0000-0000-00000E000000}"/>
    <hyperlink ref="H64983" r:id="rId16" display="https://www.aavso.org/ejaavso" xr:uid="{00000000-0004-0000-0000-00000F000000}"/>
    <hyperlink ref="AP6001" r:id="rId17" display="http://cdsbib.u-strasbg.fr/cgi-bin/cdsbib?1990RMxAA..21..381G" xr:uid="{00000000-0004-0000-0000-000010000000}"/>
    <hyperlink ref="AP6004" r:id="rId18" display="http://cdsbib.u-strasbg.fr/cgi-bin/cdsbib?1990RMxAA..21..381G" xr:uid="{00000000-0004-0000-0000-000011000000}"/>
    <hyperlink ref="AP6002" r:id="rId19" display="http://cdsbib.u-strasbg.fr/cgi-bin/cdsbib?1990RMxAA..21..381G" xr:uid="{00000000-0004-0000-0000-000012000000}"/>
    <hyperlink ref="AP5986" r:id="rId20" display="http://cdsbib.u-strasbg.fr/cgi-bin/cdsbib?1990RMxAA..21..381G" xr:uid="{00000000-0004-0000-0000-000013000000}"/>
    <hyperlink ref="AQ6215" r:id="rId21" display="http://cdsbib.u-strasbg.fr/cgi-bin/cdsbib?1990RMxAA..21..381G" xr:uid="{00000000-0004-0000-0000-000014000000}"/>
    <hyperlink ref="AQ6219" r:id="rId22" display="http://cdsbib.u-strasbg.fr/cgi-bin/cdsbib?1990RMxAA..21..381G" xr:uid="{00000000-0004-0000-0000-000015000000}"/>
    <hyperlink ref="AQ363" r:id="rId23" display="http://cdsbib.u-strasbg.fr/cgi-bin/cdsbib?1990RMxAA..21..381G" xr:uid="{00000000-0004-0000-0000-000016000000}"/>
    <hyperlink ref="I3107" r:id="rId24" display="http://vsolj.cetus-net.org/bulletin.html" xr:uid="{00000000-0004-0000-0000-000017000000}"/>
    <hyperlink ref="H3107" r:id="rId25" display="http://vsolj.cetus-net.org/bulletin.html" xr:uid="{00000000-0004-0000-0000-000018000000}"/>
    <hyperlink ref="AQ1024" r:id="rId26" display="http://cdsbib.u-strasbg.fr/cgi-bin/cdsbib?1990RMxAA..21..381G" xr:uid="{00000000-0004-0000-0000-000019000000}"/>
    <hyperlink ref="AQ1023" r:id="rId27" display="http://cdsbib.u-strasbg.fr/cgi-bin/cdsbib?1990RMxAA..21..381G" xr:uid="{00000000-0004-0000-0000-00001A000000}"/>
    <hyperlink ref="AP4277" r:id="rId28" display="http://cdsbib.u-strasbg.fr/cgi-bin/cdsbib?1990RMxAA..21..381G" xr:uid="{00000000-0004-0000-0000-00001B000000}"/>
    <hyperlink ref="AP4295" r:id="rId29" display="http://cdsbib.u-strasbg.fr/cgi-bin/cdsbib?1990RMxAA..21..381G" xr:uid="{00000000-0004-0000-0000-00001C000000}"/>
    <hyperlink ref="AP4296" r:id="rId30" display="http://cdsbib.u-strasbg.fr/cgi-bin/cdsbib?1990RMxAA..21..381G" xr:uid="{00000000-0004-0000-0000-00001D000000}"/>
    <hyperlink ref="AP4292" r:id="rId31" display="http://cdsbib.u-strasbg.fr/cgi-bin/cdsbib?1990RMxAA..21..381G" xr:uid="{00000000-0004-0000-0000-00001E000000}"/>
  </hyperlinks>
  <pageMargins left="0.75" right="0.75" top="1" bottom="1" header="0.5" footer="0.5"/>
  <headerFooter alignWithMargins="0"/>
  <drawing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8"/>
  <sheetViews>
    <sheetView workbookViewId="0">
      <selection activeCell="A3" sqref="A3"/>
    </sheetView>
  </sheetViews>
  <sheetFormatPr defaultColWidth="10.28515625" defaultRowHeight="12.75" x14ac:dyDescent="0.2"/>
  <cols>
    <col min="1" max="1" width="14.42578125" customWidth="1"/>
    <col min="2" max="2" width="5.140625" style="4" customWidth="1"/>
    <col min="3" max="3" width="11.85546875" customWidth="1"/>
    <col min="4" max="4" width="9.42578125" customWidth="1"/>
    <col min="5" max="5" width="14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D1" s="9"/>
    </row>
    <row r="2" spans="1:7" x14ac:dyDescent="0.2">
      <c r="A2" t="s">
        <v>28</v>
      </c>
      <c r="B2" s="12" t="s">
        <v>44</v>
      </c>
    </row>
    <row r="3" spans="1:7" x14ac:dyDescent="0.2">
      <c r="A3" s="38" t="s">
        <v>55</v>
      </c>
    </row>
    <row r="4" spans="1:7" x14ac:dyDescent="0.2">
      <c r="A4" s="6" t="s">
        <v>4</v>
      </c>
      <c r="C4" s="2">
        <v>39726.559999999998</v>
      </c>
      <c r="D4" s="3">
        <v>0.61299000000000003</v>
      </c>
    </row>
    <row r="6" spans="1:7" x14ac:dyDescent="0.2">
      <c r="A6" s="6" t="s">
        <v>5</v>
      </c>
    </row>
    <row r="7" spans="1:7" x14ac:dyDescent="0.2">
      <c r="A7" t="s">
        <v>6</v>
      </c>
      <c r="C7">
        <f>+C4</f>
        <v>39726.559999999998</v>
      </c>
    </row>
    <row r="8" spans="1:7" x14ac:dyDescent="0.2">
      <c r="A8" t="s">
        <v>7</v>
      </c>
      <c r="C8">
        <f>+D4</f>
        <v>0.61299000000000003</v>
      </c>
    </row>
    <row r="9" spans="1:7" x14ac:dyDescent="0.2">
      <c r="A9" s="13" t="s">
        <v>46</v>
      </c>
      <c r="B9" s="10"/>
      <c r="C9" s="14">
        <v>8</v>
      </c>
      <c r="D9" s="10" t="s">
        <v>47</v>
      </c>
      <c r="E9" s="10"/>
    </row>
    <row r="10" spans="1:7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7" x14ac:dyDescent="0.2">
      <c r="A11" s="10" t="s">
        <v>20</v>
      </c>
      <c r="B11" s="10"/>
      <c r="C11" s="15">
        <f ca="1">INTERCEPT(INDIRECT($G$11):G992,INDIRECT($F$11):F992)</f>
        <v>1.6207624422637172E-2</v>
      </c>
      <c r="D11" s="4"/>
      <c r="E11" s="10"/>
      <c r="F11" s="16" t="str">
        <f>"F"&amp;E19</f>
        <v>F21</v>
      </c>
      <c r="G11" s="11" t="str">
        <f>"G"&amp;E19</f>
        <v>G21</v>
      </c>
    </row>
    <row r="12" spans="1:7" x14ac:dyDescent="0.2">
      <c r="A12" s="10" t="s">
        <v>21</v>
      </c>
      <c r="B12" s="10"/>
      <c r="C12" s="15">
        <f ca="1">SLOPE(INDIRECT($G$11):G992,INDIRECT($F$11):F992)</f>
        <v>-3.63303416344998E-6</v>
      </c>
      <c r="D12" s="4"/>
      <c r="E12" s="10"/>
    </row>
    <row r="13" spans="1:7" x14ac:dyDescent="0.2">
      <c r="A13" s="10" t="s">
        <v>23</v>
      </c>
      <c r="B13" s="10"/>
      <c r="C13" s="4" t="s">
        <v>18</v>
      </c>
      <c r="D13" s="4"/>
      <c r="E13" s="10"/>
    </row>
    <row r="14" spans="1:7" x14ac:dyDescent="0.2">
      <c r="A14" s="10"/>
      <c r="B14" s="10"/>
      <c r="C14" s="10"/>
      <c r="D14" s="10"/>
      <c r="E14" s="10"/>
    </row>
    <row r="15" spans="1:7" x14ac:dyDescent="0.2">
      <c r="A15" s="17" t="s">
        <v>22</v>
      </c>
      <c r="B15" s="10"/>
      <c r="C15" s="18">
        <f ca="1">(C7+C11)+(C8+C12)*INT(MAX(F21:F3533))</f>
        <v>54028.774121671318</v>
      </c>
      <c r="D15" s="19" t="s">
        <v>48</v>
      </c>
      <c r="E15" s="20">
        <f ca="1">TODAY()+15018.5-B9/24</f>
        <v>60320.5</v>
      </c>
    </row>
    <row r="16" spans="1:7" x14ac:dyDescent="0.2">
      <c r="A16" s="21" t="s">
        <v>8</v>
      </c>
      <c r="B16" s="10"/>
      <c r="C16" s="22">
        <f ca="1">+C8+C12</f>
        <v>0.61298636696583664</v>
      </c>
      <c r="D16" s="19" t="s">
        <v>49</v>
      </c>
      <c r="E16" s="20">
        <f ca="1">ROUND(2*(E15-C15)/C16,0)/2+1</f>
        <v>10265</v>
      </c>
    </row>
    <row r="17" spans="1:30" ht="13.5" thickBot="1" x14ac:dyDescent="0.25">
      <c r="A17" s="19" t="s">
        <v>43</v>
      </c>
      <c r="B17" s="10"/>
      <c r="C17" s="10">
        <f>COUNT(C21:C2191)</f>
        <v>13</v>
      </c>
      <c r="D17" s="19" t="s">
        <v>50</v>
      </c>
      <c r="E17" s="23">
        <f ca="1">+C15+C16*E16-15018.5-C9/24</f>
        <v>45302.245845242294</v>
      </c>
    </row>
    <row r="18" spans="1:30" x14ac:dyDescent="0.2">
      <c r="A18" s="21" t="s">
        <v>9</v>
      </c>
      <c r="B18" s="10"/>
      <c r="C18" s="24">
        <f ca="1">+C15</f>
        <v>54028.774121671318</v>
      </c>
      <c r="D18" s="25">
        <f ca="1">+C16</f>
        <v>0.61298636696583664</v>
      </c>
      <c r="E18" s="26" t="s">
        <v>51</v>
      </c>
    </row>
    <row r="19" spans="1:30" ht="13.5" thickTop="1" x14ac:dyDescent="0.2">
      <c r="A19" s="27" t="s">
        <v>52</v>
      </c>
      <c r="B19"/>
      <c r="E19" s="28">
        <v>21</v>
      </c>
    </row>
    <row r="20" spans="1:30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16</v>
      </c>
      <c r="I20" s="8" t="s">
        <v>36</v>
      </c>
      <c r="J20" s="8" t="s">
        <v>39</v>
      </c>
      <c r="K20" s="8" t="s">
        <v>41</v>
      </c>
      <c r="L20" s="8" t="s">
        <v>29</v>
      </c>
      <c r="M20" s="8" t="s">
        <v>30</v>
      </c>
      <c r="N20" s="8" t="s">
        <v>31</v>
      </c>
      <c r="O20" s="8" t="s">
        <v>27</v>
      </c>
      <c r="P20" s="7" t="s">
        <v>26</v>
      </c>
      <c r="Q20" s="5" t="s">
        <v>19</v>
      </c>
    </row>
    <row r="21" spans="1:30" x14ac:dyDescent="0.2">
      <c r="A21" s="29" t="s">
        <v>16</v>
      </c>
      <c r="B21" s="30"/>
      <c r="C21" s="34">
        <v>39726.559999999998</v>
      </c>
      <c r="D21" s="34" t="s">
        <v>18</v>
      </c>
      <c r="E21" s="29">
        <f t="shared" ref="E21:E31" si="0">+(C21-C$7)/C$8</f>
        <v>0</v>
      </c>
      <c r="F21" s="29">
        <f t="shared" ref="F21:F33" si="1">ROUND(2*E21,0)/2</f>
        <v>0</v>
      </c>
      <c r="G21" s="29">
        <f t="shared" ref="G21:G27" si="2">+C21-(C$7+F21*C$8)</f>
        <v>0</v>
      </c>
      <c r="H21" s="29">
        <f>+G21</f>
        <v>0</v>
      </c>
      <c r="I21" s="29"/>
      <c r="J21" s="29"/>
      <c r="K21" s="29"/>
      <c r="L21" s="29"/>
      <c r="M21" s="29"/>
      <c r="N21" s="29"/>
      <c r="O21" s="29">
        <f t="shared" ref="O21:O31" ca="1" si="3">+C$11+C$12*F21</f>
        <v>1.6207624422637172E-2</v>
      </c>
      <c r="P21" s="29"/>
      <c r="Q21" s="31">
        <f t="shared" ref="Q21:Q31" si="4">+C21-15018.5</f>
        <v>24708.059999999998</v>
      </c>
      <c r="R21" s="29"/>
      <c r="S21" s="29"/>
    </row>
    <row r="22" spans="1:30" x14ac:dyDescent="0.2">
      <c r="A22" s="29" t="s">
        <v>33</v>
      </c>
      <c r="B22" s="30" t="s">
        <v>38</v>
      </c>
      <c r="C22" s="34">
        <v>41550.517999999996</v>
      </c>
      <c r="D22" s="34"/>
      <c r="E22" s="29">
        <f t="shared" si="0"/>
        <v>2975.5102040816305</v>
      </c>
      <c r="F22" s="29">
        <f t="shared" si="1"/>
        <v>2975.5</v>
      </c>
      <c r="G22" s="29">
        <f t="shared" si="2"/>
        <v>6.2550000002374873E-3</v>
      </c>
      <c r="H22" s="29"/>
      <c r="I22" s="29">
        <f>G22</f>
        <v>6.2550000002374873E-3</v>
      </c>
      <c r="J22" s="29"/>
      <c r="K22" s="29"/>
      <c r="L22" s="29"/>
      <c r="M22" s="29"/>
      <c r="N22" s="29"/>
      <c r="O22" s="29">
        <f t="shared" ca="1" si="3"/>
        <v>5.3975312692917561E-3</v>
      </c>
      <c r="P22" s="29"/>
      <c r="Q22" s="31">
        <f t="shared" si="4"/>
        <v>26532.017999999996</v>
      </c>
      <c r="R22" s="29"/>
      <c r="S22" s="29"/>
      <c r="AA22">
        <v>10</v>
      </c>
      <c r="AB22" t="s">
        <v>32</v>
      </c>
      <c r="AD22" t="s">
        <v>34</v>
      </c>
    </row>
    <row r="23" spans="1:30" x14ac:dyDescent="0.2">
      <c r="A23" s="29" t="s">
        <v>33</v>
      </c>
      <c r="B23" s="30"/>
      <c r="C23" s="34">
        <v>41550.517999999996</v>
      </c>
      <c r="D23" s="34"/>
      <c r="E23" s="29">
        <f t="shared" si="0"/>
        <v>2975.5102040816305</v>
      </c>
      <c r="F23" s="29">
        <f t="shared" si="1"/>
        <v>2975.5</v>
      </c>
      <c r="G23" s="29">
        <f t="shared" si="2"/>
        <v>6.2550000002374873E-3</v>
      </c>
      <c r="H23" s="29"/>
      <c r="I23" s="29">
        <f>G23</f>
        <v>6.2550000002374873E-3</v>
      </c>
      <c r="J23" s="29"/>
      <c r="K23" s="29"/>
      <c r="L23" s="29"/>
      <c r="M23" s="29"/>
      <c r="N23" s="29"/>
      <c r="O23" s="29">
        <f t="shared" ca="1" si="3"/>
        <v>5.3975312692917561E-3</v>
      </c>
      <c r="P23" s="29"/>
      <c r="Q23" s="31">
        <f t="shared" si="4"/>
        <v>26532.017999999996</v>
      </c>
      <c r="R23" s="29"/>
      <c r="S23" s="29"/>
      <c r="AA23">
        <v>10</v>
      </c>
      <c r="AB23" t="s">
        <v>32</v>
      </c>
      <c r="AD23" t="s">
        <v>34</v>
      </c>
    </row>
    <row r="24" spans="1:30" x14ac:dyDescent="0.2">
      <c r="A24" s="29" t="s">
        <v>33</v>
      </c>
      <c r="B24" s="30"/>
      <c r="C24" s="34">
        <v>41565.53</v>
      </c>
      <c r="D24" s="34"/>
      <c r="E24" s="29">
        <f t="shared" si="0"/>
        <v>3000.0000000000018</v>
      </c>
      <c r="F24" s="29">
        <f t="shared" si="1"/>
        <v>3000</v>
      </c>
      <c r="G24" s="29">
        <f t="shared" si="2"/>
        <v>0</v>
      </c>
      <c r="H24" s="29"/>
      <c r="I24" s="29">
        <f>G24</f>
        <v>0</v>
      </c>
      <c r="J24" s="29"/>
      <c r="K24" s="29"/>
      <c r="L24" s="29"/>
      <c r="M24" s="29"/>
      <c r="N24" s="29"/>
      <c r="O24" s="29">
        <f t="shared" ca="1" si="3"/>
        <v>5.3085219322872319E-3</v>
      </c>
      <c r="P24" s="29"/>
      <c r="Q24" s="31">
        <f t="shared" si="4"/>
        <v>26547.03</v>
      </c>
      <c r="R24" s="29"/>
      <c r="S24" s="29"/>
      <c r="AA24">
        <v>11</v>
      </c>
      <c r="AB24" t="s">
        <v>32</v>
      </c>
      <c r="AD24" t="s">
        <v>34</v>
      </c>
    </row>
    <row r="25" spans="1:30" x14ac:dyDescent="0.2">
      <c r="A25" s="29" t="s">
        <v>35</v>
      </c>
      <c r="B25" s="30"/>
      <c r="C25" s="34">
        <v>41621.307999999997</v>
      </c>
      <c r="D25" s="34"/>
      <c r="E25" s="29">
        <f t="shared" si="0"/>
        <v>3090.9933277867494</v>
      </c>
      <c r="F25" s="29">
        <f t="shared" si="1"/>
        <v>3091</v>
      </c>
      <c r="G25" s="29">
        <f t="shared" si="2"/>
        <v>-4.0900000021792948E-3</v>
      </c>
      <c r="H25" s="29"/>
      <c r="I25" s="29">
        <f>G25</f>
        <v>-4.0900000021792948E-3</v>
      </c>
      <c r="J25" s="29"/>
      <c r="K25" s="29"/>
      <c r="L25" s="29"/>
      <c r="M25" s="29"/>
      <c r="N25" s="29"/>
      <c r="O25" s="29">
        <f t="shared" ca="1" si="3"/>
        <v>4.9779158234132832E-3</v>
      </c>
      <c r="P25" s="29"/>
      <c r="Q25" s="31">
        <f t="shared" si="4"/>
        <v>26602.807999999997</v>
      </c>
      <c r="R25" s="29"/>
      <c r="S25" s="29"/>
      <c r="AA25">
        <v>6</v>
      </c>
      <c r="AB25" t="s">
        <v>32</v>
      </c>
      <c r="AD25" t="s">
        <v>34</v>
      </c>
    </row>
    <row r="26" spans="1:30" x14ac:dyDescent="0.2">
      <c r="A26" s="29" t="s">
        <v>40</v>
      </c>
      <c r="B26" s="30" t="s">
        <v>38</v>
      </c>
      <c r="C26" s="34">
        <v>50717.495999999999</v>
      </c>
      <c r="D26" s="34">
        <v>2.9999999999999997E-4</v>
      </c>
      <c r="E26" s="29">
        <f t="shared" si="0"/>
        <v>17930.041273103969</v>
      </c>
      <c r="F26" s="29">
        <f t="shared" si="1"/>
        <v>17930</v>
      </c>
      <c r="G26" s="29">
        <f t="shared" si="2"/>
        <v>2.5300000001152512E-2</v>
      </c>
      <c r="H26" s="29"/>
      <c r="I26" s="29"/>
      <c r="J26" s="29">
        <f>G26</f>
        <v>2.5300000001152512E-2</v>
      </c>
      <c r="K26" s="29"/>
      <c r="L26" s="29"/>
      <c r="M26" s="29"/>
      <c r="N26" s="29"/>
      <c r="O26" s="29">
        <f t="shared" ca="1" si="3"/>
        <v>-4.8932678128020969E-2</v>
      </c>
      <c r="P26" s="29"/>
      <c r="Q26" s="31">
        <f t="shared" si="4"/>
        <v>35698.995999999999</v>
      </c>
      <c r="R26" s="29"/>
      <c r="S26" s="29"/>
    </row>
    <row r="27" spans="1:30" x14ac:dyDescent="0.2">
      <c r="A27" s="29" t="s">
        <v>37</v>
      </c>
      <c r="B27" s="30" t="s">
        <v>38</v>
      </c>
      <c r="C27" s="34">
        <v>52527.667000000001</v>
      </c>
      <c r="D27" s="34">
        <v>4.0000000000000002E-4</v>
      </c>
      <c r="E27" s="29">
        <f t="shared" si="0"/>
        <v>20883.060082546213</v>
      </c>
      <c r="F27" s="29">
        <f t="shared" si="1"/>
        <v>20883</v>
      </c>
      <c r="G27" s="29">
        <f t="shared" si="2"/>
        <v>3.6830000004556496E-2</v>
      </c>
      <c r="H27" s="29"/>
      <c r="I27" s="29"/>
      <c r="J27" s="29">
        <f>G27</f>
        <v>3.6830000004556496E-2</v>
      </c>
      <c r="K27" s="29"/>
      <c r="L27" s="29"/>
      <c r="M27" s="29"/>
      <c r="N27" s="29"/>
      <c r="O27" s="29">
        <f t="shared" ca="1" si="3"/>
        <v>-5.9661028012688765E-2</v>
      </c>
      <c r="P27" s="29"/>
      <c r="Q27" s="31">
        <f t="shared" si="4"/>
        <v>37509.167000000001</v>
      </c>
      <c r="R27" s="29"/>
      <c r="S27" s="29"/>
    </row>
    <row r="28" spans="1:30" x14ac:dyDescent="0.2">
      <c r="A28" s="32" t="s">
        <v>42</v>
      </c>
      <c r="B28" s="32"/>
      <c r="C28" s="34">
        <v>52875.115999999922</v>
      </c>
      <c r="D28" s="34"/>
      <c r="E28" s="29">
        <f t="shared" si="0"/>
        <v>21449.870307835241</v>
      </c>
      <c r="F28" s="29">
        <f t="shared" si="1"/>
        <v>21450</v>
      </c>
      <c r="G28" s="29"/>
      <c r="H28" s="29"/>
      <c r="I28" s="29"/>
      <c r="J28" s="29"/>
      <c r="K28" s="33">
        <v>-7.9500000079860911E-2</v>
      </c>
      <c r="L28" s="29"/>
      <c r="M28" s="29"/>
      <c r="N28" s="29"/>
      <c r="O28" s="29">
        <f t="shared" ca="1" si="3"/>
        <v>-6.1720958383364895E-2</v>
      </c>
      <c r="P28" s="29"/>
      <c r="Q28" s="31">
        <f t="shared" si="4"/>
        <v>37856.615999999922</v>
      </c>
      <c r="R28" s="29"/>
      <c r="S28" s="29"/>
    </row>
    <row r="29" spans="1:30" x14ac:dyDescent="0.2">
      <c r="A29" s="32" t="s">
        <v>42</v>
      </c>
      <c r="B29" s="32"/>
      <c r="C29" s="34">
        <v>53285.080800000113</v>
      </c>
      <c r="D29" s="34"/>
      <c r="E29" s="29">
        <f t="shared" si="0"/>
        <v>22118.665557350225</v>
      </c>
      <c r="F29" s="29">
        <f t="shared" si="1"/>
        <v>22118.5</v>
      </c>
      <c r="G29" s="29"/>
      <c r="H29" s="29"/>
      <c r="I29" s="29"/>
      <c r="J29" s="29"/>
      <c r="K29" s="33">
        <v>0.10148500011564465</v>
      </c>
      <c r="L29" s="29"/>
      <c r="M29" s="29"/>
      <c r="N29" s="29"/>
      <c r="O29" s="29">
        <f t="shared" ca="1" si="3"/>
        <v>-6.4149641721631206E-2</v>
      </c>
      <c r="P29" s="29"/>
      <c r="Q29" s="31">
        <f t="shared" si="4"/>
        <v>38266.580800000113</v>
      </c>
      <c r="R29" s="29"/>
      <c r="S29" s="29"/>
    </row>
    <row r="30" spans="1:30" x14ac:dyDescent="0.2">
      <c r="A30" s="32" t="s">
        <v>42</v>
      </c>
      <c r="B30" s="32"/>
      <c r="C30" s="34">
        <v>53301.008899999782</v>
      </c>
      <c r="D30" s="34"/>
      <c r="E30" s="29">
        <f t="shared" si="0"/>
        <v>22144.649831155133</v>
      </c>
      <c r="F30" s="29">
        <f t="shared" si="1"/>
        <v>22144.5</v>
      </c>
      <c r="G30" s="29"/>
      <c r="H30" s="29"/>
      <c r="I30" s="29"/>
      <c r="J30" s="29"/>
      <c r="K30" s="33">
        <v>9.1844999784370884E-2</v>
      </c>
      <c r="L30" s="29"/>
      <c r="M30" s="29"/>
      <c r="N30" s="29"/>
      <c r="O30" s="29">
        <f t="shared" ca="1" si="3"/>
        <v>-6.4244100609880922E-2</v>
      </c>
      <c r="P30" s="29"/>
      <c r="Q30" s="31">
        <f t="shared" si="4"/>
        <v>38282.508899999782</v>
      </c>
      <c r="R30" s="29"/>
      <c r="S30" s="29"/>
    </row>
    <row r="31" spans="1:30" x14ac:dyDescent="0.2">
      <c r="A31" s="32" t="s">
        <v>42</v>
      </c>
      <c r="B31" s="32"/>
      <c r="C31" s="34">
        <v>53312.970600000117</v>
      </c>
      <c r="D31" s="34"/>
      <c r="E31" s="29">
        <f t="shared" si="0"/>
        <v>22164.163526321994</v>
      </c>
      <c r="F31" s="29">
        <f t="shared" si="1"/>
        <v>22164</v>
      </c>
      <c r="G31" s="29"/>
      <c r="H31" s="29"/>
      <c r="I31" s="29"/>
      <c r="J31" s="29"/>
      <c r="K31" s="33">
        <v>0.10024000011617318</v>
      </c>
      <c r="L31" s="29"/>
      <c r="M31" s="29"/>
      <c r="N31" s="29"/>
      <c r="O31" s="29">
        <f t="shared" ca="1" si="3"/>
        <v>-6.4314944776068195E-2</v>
      </c>
      <c r="P31" s="29"/>
      <c r="Q31" s="31">
        <f t="shared" si="4"/>
        <v>38294.470600000117</v>
      </c>
      <c r="R31" s="29"/>
      <c r="S31" s="29"/>
    </row>
    <row r="32" spans="1:30" x14ac:dyDescent="0.2">
      <c r="A32" s="35" t="s">
        <v>53</v>
      </c>
      <c r="B32" s="30" t="s">
        <v>38</v>
      </c>
      <c r="C32" s="36">
        <v>54005.718099999998</v>
      </c>
      <c r="D32" s="36">
        <v>2.7000000000000001E-3</v>
      </c>
      <c r="E32" s="29">
        <f>+(C32-C$7)/C$8</f>
        <v>23294.275763063019</v>
      </c>
      <c r="F32" s="29">
        <f t="shared" si="1"/>
        <v>23294.5</v>
      </c>
      <c r="G32" s="29">
        <f>+C32-(C$7+F32*C$8)</f>
        <v>-0.13745500000368338</v>
      </c>
      <c r="H32" s="29"/>
      <c r="I32" s="29"/>
      <c r="J32" s="29">
        <f>G32</f>
        <v>-0.13745500000368338</v>
      </c>
      <c r="K32" s="29"/>
      <c r="L32" s="29"/>
      <c r="M32" s="29"/>
      <c r="N32" s="29"/>
      <c r="O32" s="29">
        <f ca="1">+C$11+C$12*F32</f>
        <v>-6.8422089897848398E-2</v>
      </c>
      <c r="P32" s="29"/>
      <c r="Q32" s="31">
        <f>+C32-15018.5</f>
        <v>38987.218099999998</v>
      </c>
      <c r="R32" s="29"/>
      <c r="S32" s="29"/>
    </row>
    <row r="33" spans="1:19" x14ac:dyDescent="0.2">
      <c r="A33" s="35" t="s">
        <v>53</v>
      </c>
      <c r="B33" s="30" t="s">
        <v>38</v>
      </c>
      <c r="C33" s="36">
        <v>54028.701300000001</v>
      </c>
      <c r="D33" s="36">
        <v>1.6000000000000001E-3</v>
      </c>
      <c r="E33" s="29">
        <f>+(C33-C$7)/C$8</f>
        <v>23331.76936002219</v>
      </c>
      <c r="F33" s="29">
        <f t="shared" si="1"/>
        <v>23332</v>
      </c>
      <c r="G33" s="29">
        <f>+C33-(C$7+F33*C$8)</f>
        <v>-0.14138000000093598</v>
      </c>
      <c r="H33" s="29"/>
      <c r="I33" s="29"/>
      <c r="J33" s="29">
        <f>G33</f>
        <v>-0.14138000000093598</v>
      </c>
      <c r="K33" s="29"/>
      <c r="L33" s="29"/>
      <c r="M33" s="29"/>
      <c r="N33" s="29"/>
      <c r="O33" s="29">
        <f ca="1">+C$11+C$12*F33</f>
        <v>-6.8558328678977765E-2</v>
      </c>
      <c r="P33" s="29"/>
      <c r="Q33" s="31">
        <f>+C33-15018.5</f>
        <v>39010.201300000001</v>
      </c>
      <c r="R33" s="29"/>
      <c r="S33" s="29"/>
    </row>
    <row r="34" spans="1:19" x14ac:dyDescent="0.2">
      <c r="A34" s="29"/>
      <c r="B34" s="30"/>
      <c r="C34" s="34"/>
      <c r="D34" s="34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x14ac:dyDescent="0.2">
      <c r="A35" s="29"/>
      <c r="B35" s="30"/>
      <c r="C35" s="34"/>
      <c r="D35" s="34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</row>
    <row r="36" spans="1:19" x14ac:dyDescent="0.2">
      <c r="A36" s="29"/>
      <c r="B36" s="30"/>
      <c r="C36" s="34"/>
      <c r="D36" s="34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</row>
    <row r="37" spans="1:19" x14ac:dyDescent="0.2">
      <c r="A37" s="29"/>
      <c r="B37" s="30"/>
      <c r="C37" s="34"/>
      <c r="D37" s="34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1:19" x14ac:dyDescent="0.2">
      <c r="A38" s="29"/>
      <c r="B38" s="30"/>
      <c r="C38" s="34"/>
      <c r="D38" s="34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1:19" x14ac:dyDescent="0.2">
      <c r="A39" s="29"/>
      <c r="B39" s="30"/>
      <c r="C39" s="34"/>
      <c r="D39" s="34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1:19" x14ac:dyDescent="0.2">
      <c r="A40" s="29"/>
      <c r="B40" s="30"/>
      <c r="C40" s="34"/>
      <c r="D40" s="34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1:19" x14ac:dyDescent="0.2">
      <c r="A41" s="29"/>
      <c r="B41" s="30"/>
      <c r="C41" s="34"/>
      <c r="D41" s="34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1:19" x14ac:dyDescent="0.2">
      <c r="A42" s="29"/>
      <c r="B42" s="30"/>
      <c r="C42" s="34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2">
      <c r="A43" s="29"/>
      <c r="B43" s="30"/>
      <c r="C43" s="34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2">
      <c r="A44" s="29"/>
      <c r="B44" s="30"/>
      <c r="C44" s="34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2">
      <c r="A45" s="29"/>
      <c r="B45" s="30"/>
      <c r="C45" s="29"/>
      <c r="D45" s="30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2">
      <c r="A46" s="29"/>
      <c r="B46" s="30"/>
      <c r="C46" s="29"/>
      <c r="D46" s="30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</row>
    <row r="47" spans="1:19" x14ac:dyDescent="0.2">
      <c r="A47" s="29"/>
      <c r="B47" s="3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</row>
    <row r="48" spans="1:19" x14ac:dyDescent="0.2">
      <c r="A48" s="29"/>
      <c r="B48" s="30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9"/>
  <sheetViews>
    <sheetView topLeftCell="A4" workbookViewId="0">
      <selection activeCell="A18" sqref="A18:D26"/>
    </sheetView>
  </sheetViews>
  <sheetFormatPr defaultRowHeight="12.75" x14ac:dyDescent="0.2"/>
  <cols>
    <col min="1" max="1" width="19.7109375" style="42" customWidth="1"/>
    <col min="2" max="2" width="4.42578125" style="10" customWidth="1"/>
    <col min="3" max="3" width="12.7109375" style="4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4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1" t="s">
        <v>61</v>
      </c>
      <c r="I1" s="43" t="s">
        <v>62</v>
      </c>
      <c r="J1" s="44" t="s">
        <v>63</v>
      </c>
    </row>
    <row r="2" spans="1:16" x14ac:dyDescent="0.2">
      <c r="I2" s="45" t="s">
        <v>64</v>
      </c>
      <c r="J2" s="46" t="s">
        <v>65</v>
      </c>
    </row>
    <row r="3" spans="1:16" x14ac:dyDescent="0.2">
      <c r="A3" s="47" t="s">
        <v>66</v>
      </c>
      <c r="I3" s="45" t="s">
        <v>67</v>
      </c>
      <c r="J3" s="46" t="s">
        <v>68</v>
      </c>
    </row>
    <row r="4" spans="1:16" x14ac:dyDescent="0.2">
      <c r="I4" s="45" t="s">
        <v>69</v>
      </c>
      <c r="J4" s="46" t="s">
        <v>68</v>
      </c>
    </row>
    <row r="5" spans="1:16" ht="13.5" thickBot="1" x14ac:dyDescent="0.25">
      <c r="I5" s="48" t="s">
        <v>70</v>
      </c>
      <c r="J5" s="49" t="s">
        <v>71</v>
      </c>
    </row>
    <row r="10" spans="1:16" ht="13.5" thickBot="1" x14ac:dyDescent="0.25"/>
    <row r="11" spans="1:16" ht="12.75" customHeight="1" thickBot="1" x14ac:dyDescent="0.25">
      <c r="A11" s="42" t="str">
        <f t="shared" ref="A11:A26" si="0">P11</f>
        <v> BAN 20.222 </v>
      </c>
      <c r="B11" s="4" t="str">
        <f t="shared" ref="B11:B26" si="1">IF(H11=INT(H11),"I","II")</f>
        <v>I</v>
      </c>
      <c r="C11" s="42">
        <f t="shared" ref="C11:C26" si="2">1*G11</f>
        <v>39726.559999999998</v>
      </c>
      <c r="D11" s="10" t="str">
        <f t="shared" ref="D11:D26" si="3">VLOOKUP(F11,I$1:J$5,2,FALSE)</f>
        <v>vis</v>
      </c>
      <c r="E11" s="50">
        <f>VLOOKUP(C11,Active!C$21:E$971,3,FALSE)</f>
        <v>0</v>
      </c>
      <c r="F11" s="4" t="s">
        <v>70</v>
      </c>
      <c r="G11" s="10" t="str">
        <f t="shared" ref="G11:G26" si="4">MID(I11,3,LEN(I11)-3)</f>
        <v>39726.56</v>
      </c>
      <c r="H11" s="42">
        <f t="shared" ref="H11:H26" si="5">1*K11</f>
        <v>-22152</v>
      </c>
      <c r="I11" s="51" t="s">
        <v>72</v>
      </c>
      <c r="J11" s="52" t="s">
        <v>73</v>
      </c>
      <c r="K11" s="51">
        <v>-22152</v>
      </c>
      <c r="L11" s="51" t="s">
        <v>74</v>
      </c>
      <c r="M11" s="52" t="s">
        <v>75</v>
      </c>
      <c r="N11" s="52" t="s">
        <v>76</v>
      </c>
      <c r="O11" s="53" t="s">
        <v>77</v>
      </c>
      <c r="P11" s="53" t="s">
        <v>78</v>
      </c>
    </row>
    <row r="12" spans="1:16" ht="12.75" customHeight="1" thickBot="1" x14ac:dyDescent="0.25">
      <c r="A12" s="42" t="str">
        <f t="shared" si="0"/>
        <v> BBS 6 </v>
      </c>
      <c r="B12" s="4" t="str">
        <f t="shared" si="1"/>
        <v>I</v>
      </c>
      <c r="C12" s="42">
        <f t="shared" si="2"/>
        <v>41621.307999999997</v>
      </c>
      <c r="D12" s="10" t="str">
        <f t="shared" si="3"/>
        <v>vis</v>
      </c>
      <c r="E12" s="50">
        <f>VLOOKUP(C12,Active!C$21:E$971,3,FALSE)</f>
        <v>3092.0172914895384</v>
      </c>
      <c r="F12" s="4" t="s">
        <v>70</v>
      </c>
      <c r="G12" s="10" t="str">
        <f t="shared" si="4"/>
        <v>41621.308</v>
      </c>
      <c r="H12" s="42">
        <f t="shared" si="5"/>
        <v>-19060</v>
      </c>
      <c r="I12" s="51" t="s">
        <v>79</v>
      </c>
      <c r="J12" s="52" t="s">
        <v>80</v>
      </c>
      <c r="K12" s="51">
        <v>-19060</v>
      </c>
      <c r="L12" s="51" t="s">
        <v>81</v>
      </c>
      <c r="M12" s="52" t="s">
        <v>82</v>
      </c>
      <c r="N12" s="52"/>
      <c r="O12" s="53" t="s">
        <v>83</v>
      </c>
      <c r="P12" s="53" t="s">
        <v>84</v>
      </c>
    </row>
    <row r="13" spans="1:16" ht="12.75" customHeight="1" thickBot="1" x14ac:dyDescent="0.25">
      <c r="A13" s="42" t="str">
        <f t="shared" si="0"/>
        <v>BAVM 117 </v>
      </c>
      <c r="B13" s="4" t="str">
        <f t="shared" si="1"/>
        <v>I</v>
      </c>
      <c r="C13" s="42">
        <f t="shared" si="2"/>
        <v>50717.495999999999</v>
      </c>
      <c r="D13" s="10" t="str">
        <f t="shared" si="3"/>
        <v>vis</v>
      </c>
      <c r="E13" s="50">
        <f>VLOOKUP(C13,Active!C$21:E$971,3,FALSE)</f>
        <v>17935.981017874077</v>
      </c>
      <c r="F13" s="4" t="s">
        <v>70</v>
      </c>
      <c r="G13" s="10" t="str">
        <f t="shared" si="4"/>
        <v>50717.4960</v>
      </c>
      <c r="H13" s="42">
        <f t="shared" si="5"/>
        <v>-4216</v>
      </c>
      <c r="I13" s="51" t="s">
        <v>85</v>
      </c>
      <c r="J13" s="52" t="s">
        <v>86</v>
      </c>
      <c r="K13" s="51">
        <v>-4216</v>
      </c>
      <c r="L13" s="51" t="s">
        <v>87</v>
      </c>
      <c r="M13" s="52" t="s">
        <v>75</v>
      </c>
      <c r="N13" s="52" t="s">
        <v>88</v>
      </c>
      <c r="O13" s="53" t="s">
        <v>89</v>
      </c>
      <c r="P13" s="54" t="s">
        <v>90</v>
      </c>
    </row>
    <row r="14" spans="1:16" ht="12.75" customHeight="1" thickBot="1" x14ac:dyDescent="0.25">
      <c r="A14" s="42" t="str">
        <f t="shared" si="0"/>
        <v>IBVS 5378 </v>
      </c>
      <c r="B14" s="4" t="str">
        <f t="shared" si="1"/>
        <v>I</v>
      </c>
      <c r="C14" s="42">
        <f t="shared" si="2"/>
        <v>52527.667000000001</v>
      </c>
      <c r="D14" s="10" t="str">
        <f t="shared" si="3"/>
        <v>vis</v>
      </c>
      <c r="E14" s="50">
        <f>VLOOKUP(C14,Active!C$21:E$971,3,FALSE)</f>
        <v>20889.97808373873</v>
      </c>
      <c r="F14" s="4" t="s">
        <v>70</v>
      </c>
      <c r="G14" s="10" t="str">
        <f t="shared" si="4"/>
        <v>52527.6670</v>
      </c>
      <c r="H14" s="42">
        <f t="shared" si="5"/>
        <v>-1262</v>
      </c>
      <c r="I14" s="51" t="s">
        <v>91</v>
      </c>
      <c r="J14" s="52" t="s">
        <v>92</v>
      </c>
      <c r="K14" s="51">
        <v>-1262</v>
      </c>
      <c r="L14" s="51" t="s">
        <v>93</v>
      </c>
      <c r="M14" s="52" t="s">
        <v>75</v>
      </c>
      <c r="N14" s="52" t="s">
        <v>76</v>
      </c>
      <c r="O14" s="53" t="s">
        <v>94</v>
      </c>
      <c r="P14" s="54" t="s">
        <v>95</v>
      </c>
    </row>
    <row r="15" spans="1:16" ht="12.75" customHeight="1" thickBot="1" x14ac:dyDescent="0.25">
      <c r="A15" s="42" t="str">
        <f t="shared" si="0"/>
        <v>IBVS 5843 </v>
      </c>
      <c r="B15" s="4" t="str">
        <f t="shared" si="1"/>
        <v>I</v>
      </c>
      <c r="C15" s="42">
        <f t="shared" si="2"/>
        <v>54005.718099999998</v>
      </c>
      <c r="D15" s="10" t="str">
        <f t="shared" si="3"/>
        <v>vis</v>
      </c>
      <c r="E15" s="50">
        <f>VLOOKUP(C15,Active!C$21:E$971,3,FALSE)</f>
        <v>23301.992535742436</v>
      </c>
      <c r="F15" s="4" t="s">
        <v>70</v>
      </c>
      <c r="G15" s="10" t="str">
        <f t="shared" si="4"/>
        <v>54005.7181</v>
      </c>
      <c r="H15" s="42">
        <f t="shared" si="5"/>
        <v>1150</v>
      </c>
      <c r="I15" s="51" t="s">
        <v>111</v>
      </c>
      <c r="J15" s="52" t="s">
        <v>112</v>
      </c>
      <c r="K15" s="51">
        <v>1150</v>
      </c>
      <c r="L15" s="51" t="s">
        <v>113</v>
      </c>
      <c r="M15" s="52" t="s">
        <v>114</v>
      </c>
      <c r="N15" s="52" t="s">
        <v>115</v>
      </c>
      <c r="O15" s="53" t="s">
        <v>116</v>
      </c>
      <c r="P15" s="54" t="s">
        <v>117</v>
      </c>
    </row>
    <row r="16" spans="1:16" ht="12.75" customHeight="1" thickBot="1" x14ac:dyDescent="0.25">
      <c r="A16" s="42" t="str">
        <f t="shared" si="0"/>
        <v>IBVS 5843 </v>
      </c>
      <c r="B16" s="4" t="str">
        <f t="shared" si="1"/>
        <v>II</v>
      </c>
      <c r="C16" s="42">
        <f t="shared" si="2"/>
        <v>54028.701300000001</v>
      </c>
      <c r="D16" s="10" t="str">
        <f t="shared" si="3"/>
        <v>vis</v>
      </c>
      <c r="E16" s="50">
        <f>VLOOKUP(C16,Active!C$21:E$971,3,FALSE)</f>
        <v>23339.498553330934</v>
      </c>
      <c r="F16" s="4" t="s">
        <v>70</v>
      </c>
      <c r="G16" s="10" t="str">
        <f t="shared" si="4"/>
        <v>54028.7013</v>
      </c>
      <c r="H16" s="42">
        <f t="shared" si="5"/>
        <v>1187.5</v>
      </c>
      <c r="I16" s="51" t="s">
        <v>124</v>
      </c>
      <c r="J16" s="52" t="s">
        <v>125</v>
      </c>
      <c r="K16" s="51" t="s">
        <v>126</v>
      </c>
      <c r="L16" s="51" t="s">
        <v>127</v>
      </c>
      <c r="M16" s="52" t="s">
        <v>114</v>
      </c>
      <c r="N16" s="52" t="s">
        <v>115</v>
      </c>
      <c r="O16" s="53" t="s">
        <v>116</v>
      </c>
      <c r="P16" s="54" t="s">
        <v>117</v>
      </c>
    </row>
    <row r="17" spans="1:16" ht="12.75" customHeight="1" thickBot="1" x14ac:dyDescent="0.25">
      <c r="A17" s="42" t="str">
        <f t="shared" si="0"/>
        <v>IBVS 5960 </v>
      </c>
      <c r="B17" s="4" t="str">
        <f t="shared" si="1"/>
        <v>II</v>
      </c>
      <c r="C17" s="42">
        <f t="shared" si="2"/>
        <v>55503.695399999997</v>
      </c>
      <c r="D17" s="10" t="str">
        <f t="shared" si="3"/>
        <v>vis</v>
      </c>
      <c r="E17" s="50">
        <f>VLOOKUP(C17,Active!C$21:E$971,3,FALSE)</f>
        <v>25746.524322480731</v>
      </c>
      <c r="F17" s="4" t="s">
        <v>70</v>
      </c>
      <c r="G17" s="10" t="str">
        <f t="shared" si="4"/>
        <v>55503.6954</v>
      </c>
      <c r="H17" s="42">
        <f t="shared" si="5"/>
        <v>3594.5</v>
      </c>
      <c r="I17" s="51" t="s">
        <v>144</v>
      </c>
      <c r="J17" s="52" t="s">
        <v>145</v>
      </c>
      <c r="K17" s="51" t="s">
        <v>146</v>
      </c>
      <c r="L17" s="51" t="s">
        <v>147</v>
      </c>
      <c r="M17" s="52" t="s">
        <v>114</v>
      </c>
      <c r="N17" s="52" t="s">
        <v>70</v>
      </c>
      <c r="O17" s="53" t="s">
        <v>148</v>
      </c>
      <c r="P17" s="54" t="s">
        <v>149</v>
      </c>
    </row>
    <row r="18" spans="1:16" ht="12.75" customHeight="1" thickBot="1" x14ac:dyDescent="0.25">
      <c r="A18" s="42" t="str">
        <f t="shared" si="0"/>
        <v>VSB 42 </v>
      </c>
      <c r="B18" s="4" t="str">
        <f t="shared" si="1"/>
        <v>I</v>
      </c>
      <c r="C18" s="42">
        <f t="shared" si="2"/>
        <v>52875.116000000002</v>
      </c>
      <c r="D18" s="10" t="str">
        <f t="shared" si="3"/>
        <v>vis</v>
      </c>
      <c r="E18" s="50">
        <f>VLOOKUP(C18,Active!C$21:E$971,3,FALSE)</f>
        <v>21456.97607814788</v>
      </c>
      <c r="F18" s="4" t="s">
        <v>70</v>
      </c>
      <c r="G18" s="10" t="str">
        <f t="shared" si="4"/>
        <v>52875.1160</v>
      </c>
      <c r="H18" s="42">
        <f t="shared" si="5"/>
        <v>-695</v>
      </c>
      <c r="I18" s="51" t="s">
        <v>96</v>
      </c>
      <c r="J18" s="52" t="s">
        <v>97</v>
      </c>
      <c r="K18" s="51">
        <v>-695</v>
      </c>
      <c r="L18" s="51" t="s">
        <v>98</v>
      </c>
      <c r="M18" s="52" t="s">
        <v>75</v>
      </c>
      <c r="N18" s="52" t="s">
        <v>76</v>
      </c>
      <c r="O18" s="53" t="s">
        <v>99</v>
      </c>
      <c r="P18" s="54" t="s">
        <v>100</v>
      </c>
    </row>
    <row r="19" spans="1:16" ht="12.75" customHeight="1" thickBot="1" x14ac:dyDescent="0.25">
      <c r="A19" s="42" t="str">
        <f t="shared" si="0"/>
        <v>VSB 43 </v>
      </c>
      <c r="B19" s="4" t="str">
        <f t="shared" si="1"/>
        <v>I</v>
      </c>
      <c r="C19" s="42">
        <f t="shared" si="2"/>
        <v>53285.080800000003</v>
      </c>
      <c r="D19" s="10" t="str">
        <f t="shared" si="3"/>
        <v>vis</v>
      </c>
      <c r="E19" s="50">
        <f>VLOOKUP(C19,Active!C$21:E$971,3,FALSE)</f>
        <v>22125.992881702787</v>
      </c>
      <c r="F19" s="4" t="s">
        <v>70</v>
      </c>
      <c r="G19" s="10" t="str">
        <f t="shared" si="4"/>
        <v>53285.0808</v>
      </c>
      <c r="H19" s="42">
        <f t="shared" si="5"/>
        <v>-26</v>
      </c>
      <c r="I19" s="51" t="s">
        <v>101</v>
      </c>
      <c r="J19" s="52" t="s">
        <v>102</v>
      </c>
      <c r="K19" s="51">
        <v>-26</v>
      </c>
      <c r="L19" s="51" t="s">
        <v>103</v>
      </c>
      <c r="M19" s="52" t="s">
        <v>75</v>
      </c>
      <c r="N19" s="52" t="s">
        <v>76</v>
      </c>
      <c r="O19" s="53" t="s">
        <v>99</v>
      </c>
      <c r="P19" s="54" t="s">
        <v>104</v>
      </c>
    </row>
    <row r="20" spans="1:16" ht="12.75" customHeight="1" thickBot="1" x14ac:dyDescent="0.25">
      <c r="A20" s="42" t="str">
        <f t="shared" si="0"/>
        <v>VSB 43 </v>
      </c>
      <c r="B20" s="4" t="str">
        <f t="shared" si="1"/>
        <v>I</v>
      </c>
      <c r="C20" s="42">
        <f t="shared" si="2"/>
        <v>53301.008900000001</v>
      </c>
      <c r="D20" s="10" t="str">
        <f t="shared" si="3"/>
        <v>vis</v>
      </c>
      <c r="E20" s="50">
        <f>VLOOKUP(C20,Active!C$21:E$971,3,FALSE)</f>
        <v>22151.985763405562</v>
      </c>
      <c r="F20" s="4" t="s">
        <v>70</v>
      </c>
      <c r="G20" s="10" t="str">
        <f t="shared" si="4"/>
        <v>53301.0089</v>
      </c>
      <c r="H20" s="42">
        <f t="shared" si="5"/>
        <v>0</v>
      </c>
      <c r="I20" s="51" t="s">
        <v>105</v>
      </c>
      <c r="J20" s="52" t="s">
        <v>106</v>
      </c>
      <c r="K20" s="51">
        <v>0</v>
      </c>
      <c r="L20" s="51" t="s">
        <v>107</v>
      </c>
      <c r="M20" s="52" t="s">
        <v>75</v>
      </c>
      <c r="N20" s="52" t="s">
        <v>76</v>
      </c>
      <c r="O20" s="53" t="s">
        <v>99</v>
      </c>
      <c r="P20" s="54" t="s">
        <v>104</v>
      </c>
    </row>
    <row r="21" spans="1:16" ht="12.75" customHeight="1" thickBot="1" x14ac:dyDescent="0.25">
      <c r="A21" s="42" t="str">
        <f t="shared" si="0"/>
        <v>VSB 43 </v>
      </c>
      <c r="B21" s="4" t="str">
        <f t="shared" si="1"/>
        <v>II</v>
      </c>
      <c r="C21" s="42">
        <f t="shared" si="2"/>
        <v>53312.970600000001</v>
      </c>
      <c r="D21" s="10" t="str">
        <f t="shared" si="3"/>
        <v>vis</v>
      </c>
      <c r="E21" s="50">
        <f>VLOOKUP(C21,Active!C$21:E$971,3,FALSE)</f>
        <v>22171.50592293897</v>
      </c>
      <c r="F21" s="4" t="s">
        <v>70</v>
      </c>
      <c r="G21" s="10" t="str">
        <f t="shared" si="4"/>
        <v>53312.9706</v>
      </c>
      <c r="H21" s="42">
        <f t="shared" si="5"/>
        <v>19.5</v>
      </c>
      <c r="I21" s="51" t="s">
        <v>108</v>
      </c>
      <c r="J21" s="52" t="s">
        <v>109</v>
      </c>
      <c r="K21" s="51">
        <v>19.5</v>
      </c>
      <c r="L21" s="51" t="s">
        <v>110</v>
      </c>
      <c r="M21" s="52" t="s">
        <v>75</v>
      </c>
      <c r="N21" s="52" t="s">
        <v>76</v>
      </c>
      <c r="O21" s="53" t="s">
        <v>99</v>
      </c>
      <c r="P21" s="54" t="s">
        <v>104</v>
      </c>
    </row>
    <row r="22" spans="1:16" ht="12.75" customHeight="1" thickBot="1" x14ac:dyDescent="0.25">
      <c r="A22" s="42" t="str">
        <f t="shared" si="0"/>
        <v>VSB 45 </v>
      </c>
      <c r="B22" s="4" t="str">
        <f t="shared" si="1"/>
        <v>I</v>
      </c>
      <c r="C22" s="42">
        <f t="shared" si="2"/>
        <v>54016.133300000001</v>
      </c>
      <c r="D22" s="10" t="str">
        <f t="shared" si="3"/>
        <v>vis</v>
      </c>
      <c r="E22" s="50">
        <f>VLOOKUP(C22,Active!C$21:E$971,3,FALSE)</f>
        <v>23318.988979857608</v>
      </c>
      <c r="F22" s="4" t="s">
        <v>70</v>
      </c>
      <c r="G22" s="10" t="str">
        <f t="shared" si="4"/>
        <v>54016.1333</v>
      </c>
      <c r="H22" s="42">
        <f t="shared" si="5"/>
        <v>1167</v>
      </c>
      <c r="I22" s="51" t="s">
        <v>118</v>
      </c>
      <c r="J22" s="52" t="s">
        <v>119</v>
      </c>
      <c r="K22" s="51" t="s">
        <v>120</v>
      </c>
      <c r="L22" s="51" t="s">
        <v>121</v>
      </c>
      <c r="M22" s="52" t="s">
        <v>75</v>
      </c>
      <c r="N22" s="52" t="s">
        <v>76</v>
      </c>
      <c r="O22" s="53" t="s">
        <v>122</v>
      </c>
      <c r="P22" s="54" t="s">
        <v>123</v>
      </c>
    </row>
    <row r="23" spans="1:16" ht="12.75" customHeight="1" thickBot="1" x14ac:dyDescent="0.25">
      <c r="A23" s="42" t="str">
        <f t="shared" si="0"/>
        <v>VSB 45 </v>
      </c>
      <c r="B23" s="4" t="str">
        <f t="shared" si="1"/>
        <v>II</v>
      </c>
      <c r="C23" s="42">
        <f t="shared" si="2"/>
        <v>54059.956200000001</v>
      </c>
      <c r="D23" s="10" t="str">
        <f t="shared" si="3"/>
        <v>vis</v>
      </c>
      <c r="E23" s="50">
        <f>VLOOKUP(C23,Active!C$21:E$971,3,FALSE)</f>
        <v>23390.503062238597</v>
      </c>
      <c r="F23" s="4" t="s">
        <v>70</v>
      </c>
      <c r="G23" s="10" t="str">
        <f t="shared" si="4"/>
        <v>54059.9562</v>
      </c>
      <c r="H23" s="42">
        <f t="shared" si="5"/>
        <v>1238.5</v>
      </c>
      <c r="I23" s="51" t="s">
        <v>128</v>
      </c>
      <c r="J23" s="52" t="s">
        <v>129</v>
      </c>
      <c r="K23" s="51" t="s">
        <v>130</v>
      </c>
      <c r="L23" s="51" t="s">
        <v>131</v>
      </c>
      <c r="M23" s="52" t="s">
        <v>75</v>
      </c>
      <c r="N23" s="52" t="s">
        <v>76</v>
      </c>
      <c r="O23" s="53" t="s">
        <v>122</v>
      </c>
      <c r="P23" s="54" t="s">
        <v>123</v>
      </c>
    </row>
    <row r="24" spans="1:16" ht="12.75" customHeight="1" thickBot="1" x14ac:dyDescent="0.25">
      <c r="A24" s="42" t="str">
        <f t="shared" si="0"/>
        <v>VSB 48 </v>
      </c>
      <c r="B24" s="4" t="str">
        <f t="shared" si="1"/>
        <v>I</v>
      </c>
      <c r="C24" s="42">
        <f t="shared" si="2"/>
        <v>54719.058700000001</v>
      </c>
      <c r="D24" s="10" t="str">
        <f t="shared" si="3"/>
        <v>vis</v>
      </c>
      <c r="E24" s="50">
        <f>VLOOKUP(C24,Active!C$21:E$971,3,FALSE)</f>
        <v>24466.084789657751</v>
      </c>
      <c r="F24" s="4" t="s">
        <v>70</v>
      </c>
      <c r="G24" s="10" t="str">
        <f t="shared" si="4"/>
        <v>54719.0587</v>
      </c>
      <c r="H24" s="42">
        <f t="shared" si="5"/>
        <v>2314</v>
      </c>
      <c r="I24" s="51" t="s">
        <v>132</v>
      </c>
      <c r="J24" s="52" t="s">
        <v>133</v>
      </c>
      <c r="K24" s="51" t="s">
        <v>134</v>
      </c>
      <c r="L24" s="51" t="s">
        <v>135</v>
      </c>
      <c r="M24" s="52" t="s">
        <v>114</v>
      </c>
      <c r="N24" s="52" t="s">
        <v>136</v>
      </c>
      <c r="O24" s="53" t="s">
        <v>99</v>
      </c>
      <c r="P24" s="54" t="s">
        <v>137</v>
      </c>
    </row>
    <row r="25" spans="1:16" ht="12.75" customHeight="1" thickBot="1" x14ac:dyDescent="0.25">
      <c r="A25" s="42" t="str">
        <f t="shared" si="0"/>
        <v>VSB 51 </v>
      </c>
      <c r="B25" s="4" t="str">
        <f t="shared" si="1"/>
        <v>I</v>
      </c>
      <c r="C25" s="42">
        <f t="shared" si="2"/>
        <v>55453.1351</v>
      </c>
      <c r="D25" s="10" t="str">
        <f t="shared" si="3"/>
        <v>vis</v>
      </c>
      <c r="E25" s="50">
        <f>VLOOKUP(C25,Active!C$21:E$971,3,FALSE)</f>
        <v>25664.01555516028</v>
      </c>
      <c r="F25" s="4" t="s">
        <v>70</v>
      </c>
      <c r="G25" s="10" t="str">
        <f t="shared" si="4"/>
        <v>55453.1351</v>
      </c>
      <c r="H25" s="42">
        <f t="shared" si="5"/>
        <v>3512</v>
      </c>
      <c r="I25" s="51" t="s">
        <v>138</v>
      </c>
      <c r="J25" s="52" t="s">
        <v>139</v>
      </c>
      <c r="K25" s="51" t="s">
        <v>140</v>
      </c>
      <c r="L25" s="51" t="s">
        <v>141</v>
      </c>
      <c r="M25" s="52" t="s">
        <v>114</v>
      </c>
      <c r="N25" s="52" t="s">
        <v>136</v>
      </c>
      <c r="O25" s="53" t="s">
        <v>142</v>
      </c>
      <c r="P25" s="54" t="s">
        <v>143</v>
      </c>
    </row>
    <row r="26" spans="1:16" ht="12.75" customHeight="1" thickBot="1" x14ac:dyDescent="0.25">
      <c r="A26" s="42" t="str">
        <f t="shared" si="0"/>
        <v>VSB 55 </v>
      </c>
      <c r="B26" s="4" t="str">
        <f t="shared" si="1"/>
        <v>I</v>
      </c>
      <c r="C26" s="42">
        <f t="shared" si="2"/>
        <v>56181.1345</v>
      </c>
      <c r="D26" s="10" t="str">
        <f t="shared" si="3"/>
        <v>vis</v>
      </c>
      <c r="E26" s="50">
        <f>VLOOKUP(C26,Active!C$21:E$971,3,FALSE)</f>
        <v>26852.029334825973</v>
      </c>
      <c r="F26" s="4" t="s">
        <v>70</v>
      </c>
      <c r="G26" s="10" t="str">
        <f t="shared" si="4"/>
        <v>56181.1345</v>
      </c>
      <c r="H26" s="42">
        <f t="shared" si="5"/>
        <v>4700</v>
      </c>
      <c r="I26" s="51" t="s">
        <v>150</v>
      </c>
      <c r="J26" s="52" t="s">
        <v>151</v>
      </c>
      <c r="K26" s="51" t="s">
        <v>152</v>
      </c>
      <c r="L26" s="51" t="s">
        <v>153</v>
      </c>
      <c r="M26" s="52" t="s">
        <v>114</v>
      </c>
      <c r="N26" s="52" t="s">
        <v>70</v>
      </c>
      <c r="O26" s="53" t="s">
        <v>154</v>
      </c>
      <c r="P26" s="54" t="s">
        <v>155</v>
      </c>
    </row>
    <row r="27" spans="1:16" x14ac:dyDescent="0.2">
      <c r="B27" s="4"/>
      <c r="F27" s="4"/>
    </row>
    <row r="28" spans="1:16" x14ac:dyDescent="0.2">
      <c r="B28" s="4"/>
      <c r="F28" s="4"/>
    </row>
    <row r="29" spans="1:16" x14ac:dyDescent="0.2">
      <c r="B29" s="4"/>
      <c r="F29" s="4"/>
    </row>
    <row r="30" spans="1:16" x14ac:dyDescent="0.2">
      <c r="B30" s="4"/>
      <c r="F30" s="4"/>
    </row>
    <row r="31" spans="1:16" x14ac:dyDescent="0.2">
      <c r="B31" s="4"/>
      <c r="F31" s="4"/>
    </row>
    <row r="32" spans="1:16" x14ac:dyDescent="0.2">
      <c r="B32" s="4"/>
      <c r="F32" s="4"/>
    </row>
    <row r="33" spans="2:6" x14ac:dyDescent="0.2">
      <c r="B33" s="4"/>
      <c r="F33" s="4"/>
    </row>
    <row r="34" spans="2:6" x14ac:dyDescent="0.2">
      <c r="B34" s="4"/>
      <c r="F34" s="4"/>
    </row>
    <row r="35" spans="2:6" x14ac:dyDescent="0.2">
      <c r="B35" s="4"/>
      <c r="F35" s="4"/>
    </row>
    <row r="36" spans="2:6" x14ac:dyDescent="0.2">
      <c r="B36" s="4"/>
      <c r="F36" s="4"/>
    </row>
    <row r="37" spans="2:6" x14ac:dyDescent="0.2">
      <c r="B37" s="4"/>
      <c r="F37" s="4"/>
    </row>
    <row r="38" spans="2:6" x14ac:dyDescent="0.2">
      <c r="B38" s="4"/>
      <c r="F38" s="4"/>
    </row>
    <row r="39" spans="2:6" x14ac:dyDescent="0.2">
      <c r="B39" s="4"/>
      <c r="F39" s="4"/>
    </row>
    <row r="40" spans="2:6" x14ac:dyDescent="0.2">
      <c r="B40" s="4"/>
      <c r="F40" s="4"/>
    </row>
    <row r="41" spans="2:6" x14ac:dyDescent="0.2">
      <c r="B41" s="4"/>
      <c r="F41" s="4"/>
    </row>
    <row r="42" spans="2:6" x14ac:dyDescent="0.2">
      <c r="B42" s="4"/>
      <c r="F42" s="4"/>
    </row>
    <row r="43" spans="2:6" x14ac:dyDescent="0.2">
      <c r="B43" s="4"/>
      <c r="F43" s="4"/>
    </row>
    <row r="44" spans="2:6" x14ac:dyDescent="0.2">
      <c r="B44" s="4"/>
      <c r="F44" s="4"/>
    </row>
    <row r="45" spans="2:6" x14ac:dyDescent="0.2">
      <c r="B45" s="4"/>
      <c r="F45" s="4"/>
    </row>
    <row r="46" spans="2:6" x14ac:dyDescent="0.2">
      <c r="B46" s="4"/>
      <c r="F46" s="4"/>
    </row>
    <row r="47" spans="2:6" x14ac:dyDescent="0.2">
      <c r="B47" s="4"/>
      <c r="F47" s="4"/>
    </row>
    <row r="48" spans="2:6" x14ac:dyDescent="0.2">
      <c r="B48" s="4"/>
      <c r="F48" s="4"/>
    </row>
    <row r="49" spans="2:6" x14ac:dyDescent="0.2">
      <c r="B49" s="4"/>
      <c r="F49" s="4"/>
    </row>
    <row r="50" spans="2:6" x14ac:dyDescent="0.2">
      <c r="B50" s="4"/>
      <c r="F50" s="4"/>
    </row>
    <row r="51" spans="2:6" x14ac:dyDescent="0.2">
      <c r="B51" s="4"/>
      <c r="F51" s="4"/>
    </row>
    <row r="52" spans="2:6" x14ac:dyDescent="0.2">
      <c r="B52" s="4"/>
      <c r="F52" s="4"/>
    </row>
    <row r="53" spans="2:6" x14ac:dyDescent="0.2">
      <c r="B53" s="4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</sheetData>
  <phoneticPr fontId="8" type="noConversion"/>
  <hyperlinks>
    <hyperlink ref="P13" r:id="rId1" display="http://www.bav-astro.de/sfs/BAVM_link.php?BAVMnr=117" xr:uid="{00000000-0004-0000-0200-000000000000}"/>
    <hyperlink ref="P14" r:id="rId2" display="http://www.konkoly.hu/cgi-bin/IBVS?5378" xr:uid="{00000000-0004-0000-0200-000001000000}"/>
    <hyperlink ref="P18" r:id="rId3" display="http://vsolj.cetus-net.org/no42.pdf" xr:uid="{00000000-0004-0000-0200-000002000000}"/>
    <hyperlink ref="P19" r:id="rId4" display="http://vsolj.cetus-net.org/no43.pdf" xr:uid="{00000000-0004-0000-0200-000003000000}"/>
    <hyperlink ref="P20" r:id="rId5" display="http://vsolj.cetus-net.org/no43.pdf" xr:uid="{00000000-0004-0000-0200-000004000000}"/>
    <hyperlink ref="P21" r:id="rId6" display="http://vsolj.cetus-net.org/no43.pdf" xr:uid="{00000000-0004-0000-0200-000005000000}"/>
    <hyperlink ref="P15" r:id="rId7" display="http://www.konkoly.hu/cgi-bin/IBVS?5843" xr:uid="{00000000-0004-0000-0200-000006000000}"/>
    <hyperlink ref="P22" r:id="rId8" display="http://vsolj.cetus-net.org/no45.pdf" xr:uid="{00000000-0004-0000-0200-000007000000}"/>
    <hyperlink ref="P16" r:id="rId9" display="http://www.konkoly.hu/cgi-bin/IBVS?5843" xr:uid="{00000000-0004-0000-0200-000008000000}"/>
    <hyperlink ref="P23" r:id="rId10" display="http://vsolj.cetus-net.org/no45.pdf" xr:uid="{00000000-0004-0000-0200-000009000000}"/>
    <hyperlink ref="P24" r:id="rId11" display="http://vsolj.cetus-net.org/no48.pdf" xr:uid="{00000000-0004-0000-0200-00000A000000}"/>
    <hyperlink ref="P25" r:id="rId12" display="http://vsolj.cetus-net.org/vsoljno51.pdf" xr:uid="{00000000-0004-0000-0200-00000B000000}"/>
    <hyperlink ref="P17" r:id="rId13" display="http://www.konkoly.hu/cgi-bin/IBVS?5960" xr:uid="{00000000-0004-0000-0200-00000C000000}"/>
    <hyperlink ref="P26" r:id="rId14" display="http://vsolj.cetus-net.org/vsoljno55.pdf" xr:uid="{00000000-0004-0000-0200-00000D000000}"/>
  </hyperlinks>
  <pageMargins left="0.75" right="0.75" top="1" bottom="1" header="0.5" footer="0.5"/>
  <pageSetup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2024-01-11T05:48:20Z</dcterms:modified>
</cp:coreProperties>
</file>