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F4BB6EB1-EBB2-4200-96E5-E349BBBAF80D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43" i="1" l="1"/>
  <c r="F43" i="1"/>
  <c r="G43" i="1"/>
  <c r="K43" i="1"/>
  <c r="Q43" i="1"/>
  <c r="D9" i="1"/>
  <c r="C9" i="1"/>
  <c r="Q41" i="1"/>
  <c r="Q42" i="1"/>
  <c r="Q40" i="1"/>
  <c r="C7" i="1"/>
  <c r="E41" i="1"/>
  <c r="F41" i="1"/>
  <c r="C8" i="1"/>
  <c r="E42" i="1"/>
  <c r="F42" i="1"/>
  <c r="E27" i="1"/>
  <c r="F27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5" i="1"/>
  <c r="Q36" i="1"/>
  <c r="H28" i="2"/>
  <c r="B28" i="2"/>
  <c r="G28" i="2"/>
  <c r="C28" i="2"/>
  <c r="D28" i="2"/>
  <c r="A28" i="2"/>
  <c r="H27" i="2"/>
  <c r="G27" i="2"/>
  <c r="C27" i="2"/>
  <c r="D27" i="2"/>
  <c r="B27" i="2"/>
  <c r="A27" i="2"/>
  <c r="H26" i="2"/>
  <c r="G26" i="2"/>
  <c r="D26" i="2"/>
  <c r="C26" i="2"/>
  <c r="B26" i="2"/>
  <c r="A26" i="2"/>
  <c r="H25" i="2"/>
  <c r="B25" i="2"/>
  <c r="G25" i="2"/>
  <c r="D25" i="2"/>
  <c r="C25" i="2"/>
  <c r="A25" i="2"/>
  <c r="H24" i="2"/>
  <c r="B24" i="2"/>
  <c r="G24" i="2"/>
  <c r="C24" i="2"/>
  <c r="D24" i="2"/>
  <c r="A24" i="2"/>
  <c r="H23" i="2"/>
  <c r="G23" i="2"/>
  <c r="C23" i="2"/>
  <c r="D23" i="2"/>
  <c r="B23" i="2"/>
  <c r="A23" i="2"/>
  <c r="H22" i="2"/>
  <c r="G22" i="2"/>
  <c r="D22" i="2"/>
  <c r="C22" i="2"/>
  <c r="B22" i="2"/>
  <c r="A22" i="2"/>
  <c r="H21" i="2"/>
  <c r="B21" i="2"/>
  <c r="G21" i="2"/>
  <c r="D21" i="2"/>
  <c r="C21" i="2"/>
  <c r="A21" i="2"/>
  <c r="H20" i="2"/>
  <c r="B20" i="2"/>
  <c r="G20" i="2"/>
  <c r="C20" i="2"/>
  <c r="D20" i="2"/>
  <c r="A20" i="2"/>
  <c r="H19" i="2"/>
  <c r="G19" i="2"/>
  <c r="C19" i="2"/>
  <c r="D19" i="2"/>
  <c r="B19" i="2"/>
  <c r="A19" i="2"/>
  <c r="H18" i="2"/>
  <c r="G18" i="2"/>
  <c r="D18" i="2"/>
  <c r="C18" i="2"/>
  <c r="B18" i="2"/>
  <c r="A18" i="2"/>
  <c r="H17" i="2"/>
  <c r="B17" i="2"/>
  <c r="G17" i="2"/>
  <c r="D17" i="2"/>
  <c r="C17" i="2"/>
  <c r="E17" i="2"/>
  <c r="A17" i="2"/>
  <c r="H16" i="2"/>
  <c r="B16" i="2"/>
  <c r="G16" i="2"/>
  <c r="C16" i="2"/>
  <c r="D16" i="2"/>
  <c r="A16" i="2"/>
  <c r="H15" i="2"/>
  <c r="G15" i="2"/>
  <c r="C15" i="2"/>
  <c r="D15" i="2"/>
  <c r="B15" i="2"/>
  <c r="A15" i="2"/>
  <c r="H14" i="2"/>
  <c r="G14" i="2"/>
  <c r="D14" i="2"/>
  <c r="C14" i="2"/>
  <c r="B14" i="2"/>
  <c r="A14" i="2"/>
  <c r="H13" i="2"/>
  <c r="B13" i="2"/>
  <c r="G13" i="2"/>
  <c r="D13" i="2"/>
  <c r="C13" i="2"/>
  <c r="A13" i="2"/>
  <c r="H12" i="2"/>
  <c r="B12" i="2"/>
  <c r="G12" i="2"/>
  <c r="C12" i="2"/>
  <c r="D12" i="2"/>
  <c r="A12" i="2"/>
  <c r="H11" i="2"/>
  <c r="G11" i="2"/>
  <c r="C11" i="2"/>
  <c r="D11" i="2"/>
  <c r="B11" i="2"/>
  <c r="A11" i="2"/>
  <c r="F16" i="1"/>
  <c r="C17" i="1"/>
  <c r="Q38" i="1"/>
  <c r="Q39" i="1"/>
  <c r="Q37" i="1"/>
  <c r="Q34" i="1"/>
  <c r="E11" i="2"/>
  <c r="E19" i="2"/>
  <c r="E25" i="2"/>
  <c r="E12" i="2"/>
  <c r="E20" i="2"/>
  <c r="E23" i="2"/>
  <c r="E30" i="1"/>
  <c r="F30" i="1"/>
  <c r="E22" i="1"/>
  <c r="F22" i="1"/>
  <c r="E39" i="1"/>
  <c r="F39" i="1"/>
  <c r="E35" i="1"/>
  <c r="F35" i="1"/>
  <c r="G35" i="1"/>
  <c r="K35" i="1"/>
  <c r="E32" i="1"/>
  <c r="F32" i="1"/>
  <c r="G32" i="1"/>
  <c r="I32" i="1"/>
  <c r="E24" i="1"/>
  <c r="F24" i="1"/>
  <c r="G24" i="1"/>
  <c r="I24" i="1"/>
  <c r="E38" i="1"/>
  <c r="F38" i="1"/>
  <c r="G38" i="1"/>
  <c r="K38" i="1"/>
  <c r="G42" i="1"/>
  <c r="K42" i="1"/>
  <c r="E29" i="1"/>
  <c r="F29" i="1"/>
  <c r="G29" i="1"/>
  <c r="I29" i="1"/>
  <c r="E26" i="1"/>
  <c r="F26" i="1"/>
  <c r="G26" i="1"/>
  <c r="I26" i="1"/>
  <c r="E21" i="1"/>
  <c r="F21" i="1"/>
  <c r="G21" i="1"/>
  <c r="I21" i="1"/>
  <c r="E37" i="1"/>
  <c r="F37" i="1"/>
  <c r="G37" i="1"/>
  <c r="K37" i="1"/>
  <c r="G33" i="1"/>
  <c r="I33" i="1"/>
  <c r="E31" i="1"/>
  <c r="E23" i="1"/>
  <c r="F23" i="1"/>
  <c r="G23" i="1"/>
  <c r="I23" i="1"/>
  <c r="U41" i="1"/>
  <c r="G30" i="1"/>
  <c r="I30" i="1"/>
  <c r="E28" i="1"/>
  <c r="F28" i="1"/>
  <c r="G28" i="1"/>
  <c r="I28" i="1"/>
  <c r="G22" i="1"/>
  <c r="I22" i="1"/>
  <c r="E34" i="1"/>
  <c r="F34" i="1"/>
  <c r="G34" i="1"/>
  <c r="E36" i="1"/>
  <c r="F36" i="1"/>
  <c r="G36" i="1"/>
  <c r="K36" i="1"/>
  <c r="G39" i="1"/>
  <c r="K39" i="1"/>
  <c r="E33" i="1"/>
  <c r="F33" i="1"/>
  <c r="G27" i="1"/>
  <c r="I27" i="1"/>
  <c r="E25" i="1"/>
  <c r="F25" i="1"/>
  <c r="G25" i="1"/>
  <c r="I25" i="1"/>
  <c r="E40" i="1"/>
  <c r="F40" i="1"/>
  <c r="G40" i="1"/>
  <c r="K40" i="1"/>
  <c r="E15" i="2"/>
  <c r="E26" i="2"/>
  <c r="E18" i="2"/>
  <c r="E24" i="2"/>
  <c r="I34" i="1"/>
  <c r="E22" i="2"/>
  <c r="E16" i="2"/>
  <c r="E13" i="2"/>
  <c r="F31" i="1"/>
  <c r="G31" i="1"/>
  <c r="I31" i="1"/>
  <c r="E21" i="2"/>
  <c r="E28" i="2"/>
  <c r="E27" i="2"/>
  <c r="E14" i="2"/>
  <c r="C12" i="1"/>
  <c r="C11" i="1"/>
  <c r="O29" i="1" l="1"/>
  <c r="O43" i="1"/>
  <c r="O35" i="1"/>
  <c r="O22" i="1"/>
  <c r="O24" i="1"/>
  <c r="O40" i="1"/>
  <c r="O38" i="1"/>
  <c r="O31" i="1"/>
  <c r="O42" i="1"/>
  <c r="O33" i="1"/>
  <c r="O28" i="1"/>
  <c r="O25" i="1"/>
  <c r="O21" i="1"/>
  <c r="C15" i="1"/>
  <c r="O39" i="1"/>
  <c r="O30" i="1"/>
  <c r="O32" i="1"/>
  <c r="O23" i="1"/>
  <c r="O41" i="1"/>
  <c r="O27" i="1"/>
  <c r="O36" i="1"/>
  <c r="O37" i="1"/>
  <c r="O26" i="1"/>
  <c r="O34" i="1"/>
  <c r="C16" i="1"/>
  <c r="D18" i="1" s="1"/>
  <c r="F17" i="1"/>
  <c r="C18" i="1" l="1"/>
  <c r="F18" i="1"/>
  <c r="F19" i="1" s="1"/>
</calcChain>
</file>

<file path=xl/sharedStrings.xml><?xml version="1.0" encoding="utf-8"?>
<sst xmlns="http://schemas.openxmlformats.org/spreadsheetml/2006/main" count="248" uniqueCount="126">
  <si>
    <t>JAVSO..45..121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</si>
  <si>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</si>
  <si>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</si>
  <si>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</si>
  <si>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</si>
  <si>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</si>
  <si>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</si>
  <si>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</si>
  <si>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</si>
  <si>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</si>
  <si>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</si>
  <si>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</si>
  <si>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</si>
  <si>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</si>
  <si>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</si>
  <si>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</si>
  <si>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</si>
  <si>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</si>
  <si>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</si>
  <si>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</si>
  <si>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</si>
  <si>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</si>
  <si>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</si>
  <si>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</si>
  <si>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</si>
  <si>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</si>
  <si>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</si>
  <si>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</si>
  <si>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</si>
  <si>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</si>
  <si>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</si>
  <si>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</si>
  <si>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</t>
  </si>
  <si>
    <t>J.M. Kreiner, 2004, Acta Astronomica, vol. 54, pp 207-210.</t>
  </si>
  <si>
    <t>Kreiner</t>
  </si>
  <si>
    <t xml:space="preserve">FS Aqr / GSC 5224-1313               </t>
  </si>
  <si>
    <t>EW</t>
  </si>
  <si>
    <t>IBVS 5713</t>
  </si>
  <si>
    <t>IBVS 6011</t>
  </si>
  <si>
    <t>II</t>
  </si>
  <si>
    <t>Add cycle</t>
  </si>
  <si>
    <t>Old Cycle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</si>
  <si>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</si>
  <si>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</si>
  <si>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</si>
  <si>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</si>
  <si>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</si>
  <si>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</si>
  <si>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</si>
  <si>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</si>
  <si>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</si>
  <si>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</si>
  <si>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</si>
  <si>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2439762.278 </t>
  </si>
  <si>
    <t> 28.09.1967 18:40 </t>
  </si>
  <si>
    <t> 306.797 </t>
  </si>
  <si>
    <t>P </t>
  </si>
  <si>
    <t> N.E.Kurochkin </t>
  </si>
  <si>
    <t> PZ 22.327 </t>
  </si>
  <si>
    <t>2439765.413 </t>
  </si>
  <si>
    <t> 01.10.1967 21:54 </t>
  </si>
  <si>
    <t> 306.787 </t>
  </si>
  <si>
    <t>2441210.334 </t>
  </si>
  <si>
    <t> 15.09.1971 20:00 </t>
  </si>
  <si>
    <t> 306.786 </t>
  </si>
  <si>
    <t>2441211.362 </t>
  </si>
  <si>
    <t> 16.09.1971 20:41 </t>
  </si>
  <si>
    <t> 306.766 </t>
  </si>
  <si>
    <t>2442669.436 </t>
  </si>
  <si>
    <t> 13.09.1975 22:27 </t>
  </si>
  <si>
    <t> 306.815 </t>
  </si>
  <si>
    <t>2443396.368 </t>
  </si>
  <si>
    <t> 09.09.1977 20:49 </t>
  </si>
  <si>
    <t> 306.831 </t>
  </si>
  <si>
    <t>2443787.331 </t>
  </si>
  <si>
    <t> 05.10.1978 19:56 </t>
  </si>
  <si>
    <t> 306.822 </t>
  </si>
  <si>
    <t>2444490.400 </t>
  </si>
  <si>
    <t> 07.09.1980 21:36 </t>
  </si>
  <si>
    <t> 306.821 </t>
  </si>
  <si>
    <t>2445229.397 </t>
  </si>
  <si>
    <t> 16.09.1982 21:31 </t>
  </si>
  <si>
    <t> 306.848 </t>
  </si>
  <si>
    <t>2445233.336 </t>
  </si>
  <si>
    <t> 20.09.1982 20:03 </t>
  </si>
  <si>
    <t> 306.856 </t>
  </si>
  <si>
    <t>2445234.372 </t>
  </si>
  <si>
    <t> 21.09.1982 20:55 </t>
  </si>
  <si>
    <t> 306.844 </t>
  </si>
  <si>
    <t>2445240.400 </t>
  </si>
  <si>
    <t> 27.09.1982 21:36 </t>
  </si>
  <si>
    <t> 306.845 </t>
  </si>
  <si>
    <t>2445258.352 </t>
  </si>
  <si>
    <t> 15.10.1982 20:26 </t>
  </si>
  <si>
    <t> 306.847 </t>
  </si>
  <si>
    <t>2452503.3982 </t>
  </si>
  <si>
    <t> 16.08.2002 21:33 </t>
  </si>
  <si>
    <t> -0.0135 </t>
  </si>
  <si>
    <t>E </t>
  </si>
  <si>
    <t>?</t>
  </si>
  <si>
    <t> E.Blättler </t>
  </si>
  <si>
    <t> BBS 128 </t>
  </si>
  <si>
    <t>2452503.5239 </t>
  </si>
  <si>
    <t> 17.08.2002 00:34 </t>
  </si>
  <si>
    <t> -0.0188 </t>
  </si>
  <si>
    <t>2453670.3032 </t>
  </si>
  <si>
    <t> 26.10.2005 19:16 </t>
  </si>
  <si>
    <t> 0.0002 </t>
  </si>
  <si>
    <t> R. Diethelm </t>
  </si>
  <si>
    <t>IBVS 5713 </t>
  </si>
  <si>
    <t>2455854.6259 </t>
  </si>
  <si>
    <t> 20.10.2011 03:01 </t>
  </si>
  <si>
    <t> 0.0376 </t>
  </si>
  <si>
    <t>C </t>
  </si>
  <si>
    <t> R.Diethelm </t>
  </si>
  <si>
    <t>IBVS 6011 </t>
  </si>
  <si>
    <t>2455854.7582 </t>
  </si>
  <si>
    <t> 20.10.2011 06:11 </t>
  </si>
  <si>
    <t> 0.0389 </t>
  </si>
  <si>
    <t>s5</t>
  </si>
  <si>
    <t>s6</t>
  </si>
  <si>
    <t>s7</t>
  </si>
  <si>
    <t>JAVSO..46..184</t>
  </si>
  <si>
    <t>OEJV 0211</t>
  </si>
  <si>
    <t>Bad?</t>
  </si>
  <si>
    <t>JAVSO 49, 256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</si>
</sst>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color indexed="8"/>
      <name val="Arial"/>
      <family val="2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color indexed="10"/>
      <name val="Arial"/>
    </font>
    <font>
      <sz val="10"/>
      <color indexed="10"/>
      <name val="Arial"/>
      <family val="2"/>
    </font>
    <font>
      <sz val="10"/>
      <color indexed="20"/>
      <name val="Arial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7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</font>
    <font>
      <b/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b/>
      <sz val="10"/>
      <color indexed="14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8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6" fillId="0" borderId="0"/>
    <xf numFmtId="0" fontId="25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6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3" fillId="0" borderId="0" xfId="0" applyFont="1" applyAlignment="1"/>
    <xf numFmtId="0" fontId="4" fillId="0" borderId="5" xfId="0" applyFont="1" applyBorder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8" fillId="24" borderId="17" xfId="38" applyFill="1" applyBorder="1" applyAlignment="1" applyProtection="1">
      <alignment horizontal="right" vertical="top" wrapText="1"/>
    </xf>
    <xf numFmtId="0" fontId="9" fillId="25" borderId="0" xfId="0" applyFont="1" applyFill="1" applyAlignment="1"/>
    <xf numFmtId="0" fontId="19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42" applyFont="1" applyAlignment="1">
      <alignment horizontal="left" vertical="center"/>
    </xf>
    <xf numFmtId="0" fontId="5" fillId="0" borderId="0" xfId="42" applyFont="1" applyAlignment="1">
      <alignment horizontal="center" vertical="center"/>
    </xf>
    <xf numFmtId="0" fontId="5" fillId="0" borderId="0" xfId="42" applyFont="1" applyAlignment="1">
      <alignment horizontal="left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6" fillId="0" borderId="0" xfId="42" applyFont="1"/>
    <xf numFmtId="0" fontId="16" fillId="0" borderId="0" xfId="42" applyFont="1" applyAlignment="1">
      <alignment horizontal="center"/>
    </xf>
    <xf numFmtId="0" fontId="16" fillId="0" borderId="0" xfId="42" applyFont="1" applyAlignment="1">
      <alignment horizontal="left"/>
    </xf>
    <xf numFmtId="0" fontId="35" fillId="0" borderId="8" xfId="0" applyFont="1" applyBorder="1" applyAlignment="1">
      <alignment horizontal="center"/>
    </xf>
    <xf numFmtId="0" fontId="16" fillId="0" borderId="0" xfId="0" applyFont="1" applyAlignment="1"/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FS Aqr - O-C Diagr.</a:t>
            </a:r>
          </a:p>
        </c:rich>
      </c:tx>
      <c:layout>
        <c:manualLayout>
          <c:xMode val="edge"/>
          <c:yMode val="edge"/>
          <c:x val="0.3894736842105263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65413533834586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Active!$D$21:$D$222</c:f>
                <c:numCache>
                  <c:formatCode>General</c:formatCode>
                  <c:ptCount val="20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1.1999999999999999E-3</c:v>
                  </c:pt>
                  <c:pt idx="17">
                    <c:v>1E-4</c:v>
                  </c:pt>
                  <c:pt idx="18">
                    <c:v>4.0000000000000002E-4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2.0000000000000001E-4</c:v>
                  </c:pt>
                </c:numCache>
              </c:numRef>
            </c:plus>
            <c:minus>
              <c:numRef>
                <c:f>Active!$D$21:$D$222</c:f>
                <c:numCache>
                  <c:formatCode>General</c:formatCode>
                  <c:ptCount val="20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1.1999999999999999E-3</c:v>
                  </c:pt>
                  <c:pt idx="17">
                    <c:v>1E-4</c:v>
                  </c:pt>
                  <c:pt idx="18">
                    <c:v>4.0000000000000002E-4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-48609</c:v>
                </c:pt>
                <c:pt idx="1">
                  <c:v>-48597</c:v>
                </c:pt>
                <c:pt idx="2">
                  <c:v>-43083</c:v>
                </c:pt>
                <c:pt idx="3">
                  <c:v>-43079.5</c:v>
                </c:pt>
                <c:pt idx="4">
                  <c:v>-37515</c:v>
                </c:pt>
                <c:pt idx="5">
                  <c:v>-34741</c:v>
                </c:pt>
                <c:pt idx="6">
                  <c:v>-33249</c:v>
                </c:pt>
                <c:pt idx="7">
                  <c:v>-30566</c:v>
                </c:pt>
                <c:pt idx="8">
                  <c:v>-27746</c:v>
                </c:pt>
                <c:pt idx="9">
                  <c:v>-27731</c:v>
                </c:pt>
                <c:pt idx="10">
                  <c:v>-27727</c:v>
                </c:pt>
                <c:pt idx="11">
                  <c:v>-27704</c:v>
                </c:pt>
                <c:pt idx="12">
                  <c:v>-27635.5</c:v>
                </c:pt>
                <c:pt idx="13">
                  <c:v>-0.5</c:v>
                </c:pt>
                <c:pt idx="14">
                  <c:v>12</c:v>
                </c:pt>
                <c:pt idx="15">
                  <c:v>12.5</c:v>
                </c:pt>
                <c:pt idx="16">
                  <c:v>4465</c:v>
                </c:pt>
                <c:pt idx="17">
                  <c:v>12800.5</c:v>
                </c:pt>
                <c:pt idx="18">
                  <c:v>12801</c:v>
                </c:pt>
                <c:pt idx="19">
                  <c:v>19704</c:v>
                </c:pt>
                <c:pt idx="20">
                  <c:v>21051.5</c:v>
                </c:pt>
                <c:pt idx="21">
                  <c:v>20863.5</c:v>
                </c:pt>
                <c:pt idx="22">
                  <c:v>25222</c:v>
                </c:pt>
              </c:numCache>
            </c:numRef>
          </c:xVal>
          <c:yVal>
            <c:numRef>
              <c:f>Active!$H$21:$H$982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D22-4378-A784-ED07C3CE7CD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1.1999999999999999E-3</c:v>
                  </c:pt>
                  <c:pt idx="17">
                    <c:v>1E-4</c:v>
                  </c:pt>
                  <c:pt idx="18">
                    <c:v>4.0000000000000002E-4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2.0000000000000001E-4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1.1999999999999999E-3</c:v>
                  </c:pt>
                  <c:pt idx="17">
                    <c:v>1E-4</c:v>
                  </c:pt>
                  <c:pt idx="18">
                    <c:v>4.0000000000000002E-4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-48609</c:v>
                </c:pt>
                <c:pt idx="1">
                  <c:v>-48597</c:v>
                </c:pt>
                <c:pt idx="2">
                  <c:v>-43083</c:v>
                </c:pt>
                <c:pt idx="3">
                  <c:v>-43079.5</c:v>
                </c:pt>
                <c:pt idx="4">
                  <c:v>-37515</c:v>
                </c:pt>
                <c:pt idx="5">
                  <c:v>-34741</c:v>
                </c:pt>
                <c:pt idx="6">
                  <c:v>-33249</c:v>
                </c:pt>
                <c:pt idx="7">
                  <c:v>-30566</c:v>
                </c:pt>
                <c:pt idx="8">
                  <c:v>-27746</c:v>
                </c:pt>
                <c:pt idx="9">
                  <c:v>-27731</c:v>
                </c:pt>
                <c:pt idx="10">
                  <c:v>-27727</c:v>
                </c:pt>
                <c:pt idx="11">
                  <c:v>-27704</c:v>
                </c:pt>
                <c:pt idx="12">
                  <c:v>-27635.5</c:v>
                </c:pt>
                <c:pt idx="13">
                  <c:v>-0.5</c:v>
                </c:pt>
                <c:pt idx="14">
                  <c:v>12</c:v>
                </c:pt>
                <c:pt idx="15">
                  <c:v>12.5</c:v>
                </c:pt>
                <c:pt idx="16">
                  <c:v>4465</c:v>
                </c:pt>
                <c:pt idx="17">
                  <c:v>12800.5</c:v>
                </c:pt>
                <c:pt idx="18">
                  <c:v>12801</c:v>
                </c:pt>
                <c:pt idx="19">
                  <c:v>19704</c:v>
                </c:pt>
                <c:pt idx="20">
                  <c:v>21051.5</c:v>
                </c:pt>
                <c:pt idx="21">
                  <c:v>20863.5</c:v>
                </c:pt>
                <c:pt idx="22">
                  <c:v>25222</c:v>
                </c:pt>
              </c:numCache>
            </c:numRef>
          </c:xVal>
          <c:yVal>
            <c:numRef>
              <c:f>Active!$I$21:$I$982</c:f>
              <c:numCache>
                <c:formatCode>General</c:formatCode>
                <c:ptCount val="962"/>
                <c:pt idx="0">
                  <c:v>-4.4125100001110695E-2</c:v>
                </c:pt>
                <c:pt idx="1">
                  <c:v>-5.3678299998864532E-2</c:v>
                </c:pt>
                <c:pt idx="2">
                  <c:v>-5.4873699999006931E-2</c:v>
                </c:pt>
                <c:pt idx="3">
                  <c:v>5.5964949999179225E-2</c:v>
                </c:pt>
                <c:pt idx="4">
                  <c:v>-2.5558499997714534E-2</c:v>
                </c:pt>
                <c:pt idx="5">
                  <c:v>-9.4398999935947359E-3</c:v>
                </c:pt>
                <c:pt idx="6">
                  <c:v>-1.9221100003051106E-2</c:v>
                </c:pt>
                <c:pt idx="7">
                  <c:v>-1.9907399997464381E-2</c:v>
                </c:pt>
                <c:pt idx="8">
                  <c:v>7.0905999964452349E-3</c:v>
                </c:pt>
                <c:pt idx="9">
                  <c:v>1.5399100004287902E-2</c:v>
                </c:pt>
                <c:pt idx="10">
                  <c:v>3.2147000019904226E-3</c:v>
                </c:pt>
                <c:pt idx="11">
                  <c:v>4.1544000050635077E-3</c:v>
                </c:pt>
                <c:pt idx="12">
                  <c:v>5.9965499967802316E-3</c:v>
                </c:pt>
                <c:pt idx="13">
                  <c:v>0.13102305000211345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D22-4378-A784-ED07C3CE7CD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1.1999999999999999E-3</c:v>
                  </c:pt>
                  <c:pt idx="17">
                    <c:v>1E-4</c:v>
                  </c:pt>
                  <c:pt idx="18">
                    <c:v>4.0000000000000002E-4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2.0000000000000001E-4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1.1999999999999999E-3</c:v>
                  </c:pt>
                  <c:pt idx="17">
                    <c:v>1E-4</c:v>
                  </c:pt>
                  <c:pt idx="18">
                    <c:v>4.0000000000000002E-4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-48609</c:v>
                </c:pt>
                <c:pt idx="1">
                  <c:v>-48597</c:v>
                </c:pt>
                <c:pt idx="2">
                  <c:v>-43083</c:v>
                </c:pt>
                <c:pt idx="3">
                  <c:v>-43079.5</c:v>
                </c:pt>
                <c:pt idx="4">
                  <c:v>-37515</c:v>
                </c:pt>
                <c:pt idx="5">
                  <c:v>-34741</c:v>
                </c:pt>
                <c:pt idx="6">
                  <c:v>-33249</c:v>
                </c:pt>
                <c:pt idx="7">
                  <c:v>-30566</c:v>
                </c:pt>
                <c:pt idx="8">
                  <c:v>-27746</c:v>
                </c:pt>
                <c:pt idx="9">
                  <c:v>-27731</c:v>
                </c:pt>
                <c:pt idx="10">
                  <c:v>-27727</c:v>
                </c:pt>
                <c:pt idx="11">
                  <c:v>-27704</c:v>
                </c:pt>
                <c:pt idx="12">
                  <c:v>-27635.5</c:v>
                </c:pt>
                <c:pt idx="13">
                  <c:v>-0.5</c:v>
                </c:pt>
                <c:pt idx="14">
                  <c:v>12</c:v>
                </c:pt>
                <c:pt idx="15">
                  <c:v>12.5</c:v>
                </c:pt>
                <c:pt idx="16">
                  <c:v>4465</c:v>
                </c:pt>
                <c:pt idx="17">
                  <c:v>12800.5</c:v>
                </c:pt>
                <c:pt idx="18">
                  <c:v>12801</c:v>
                </c:pt>
                <c:pt idx="19">
                  <c:v>19704</c:v>
                </c:pt>
                <c:pt idx="20">
                  <c:v>21051.5</c:v>
                </c:pt>
                <c:pt idx="21">
                  <c:v>20863.5</c:v>
                </c:pt>
                <c:pt idx="22">
                  <c:v>25222</c:v>
                </c:pt>
              </c:numCache>
            </c:numRef>
          </c:xVal>
          <c:yVal>
            <c:numRef>
              <c:f>Active!$J$21:$J$982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D22-4378-A784-ED07C3CE7CD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1.1999999999999999E-3</c:v>
                  </c:pt>
                  <c:pt idx="17">
                    <c:v>1E-4</c:v>
                  </c:pt>
                  <c:pt idx="18">
                    <c:v>4.0000000000000002E-4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2.0000000000000001E-4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1.1999999999999999E-3</c:v>
                  </c:pt>
                  <c:pt idx="17">
                    <c:v>1E-4</c:v>
                  </c:pt>
                  <c:pt idx="18">
                    <c:v>4.0000000000000002E-4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-48609</c:v>
                </c:pt>
                <c:pt idx="1">
                  <c:v>-48597</c:v>
                </c:pt>
                <c:pt idx="2">
                  <c:v>-43083</c:v>
                </c:pt>
                <c:pt idx="3">
                  <c:v>-43079.5</c:v>
                </c:pt>
                <c:pt idx="4">
                  <c:v>-37515</c:v>
                </c:pt>
                <c:pt idx="5">
                  <c:v>-34741</c:v>
                </c:pt>
                <c:pt idx="6">
                  <c:v>-33249</c:v>
                </c:pt>
                <c:pt idx="7">
                  <c:v>-30566</c:v>
                </c:pt>
                <c:pt idx="8">
                  <c:v>-27746</c:v>
                </c:pt>
                <c:pt idx="9">
                  <c:v>-27731</c:v>
                </c:pt>
                <c:pt idx="10">
                  <c:v>-27727</c:v>
                </c:pt>
                <c:pt idx="11">
                  <c:v>-27704</c:v>
                </c:pt>
                <c:pt idx="12">
                  <c:v>-27635.5</c:v>
                </c:pt>
                <c:pt idx="13">
                  <c:v>-0.5</c:v>
                </c:pt>
                <c:pt idx="14">
                  <c:v>12</c:v>
                </c:pt>
                <c:pt idx="15">
                  <c:v>12.5</c:v>
                </c:pt>
                <c:pt idx="16">
                  <c:v>4465</c:v>
                </c:pt>
                <c:pt idx="17">
                  <c:v>12800.5</c:v>
                </c:pt>
                <c:pt idx="18">
                  <c:v>12801</c:v>
                </c:pt>
                <c:pt idx="19">
                  <c:v>19704</c:v>
                </c:pt>
                <c:pt idx="20">
                  <c:v>21051.5</c:v>
                </c:pt>
                <c:pt idx="21">
                  <c:v>20863.5</c:v>
                </c:pt>
                <c:pt idx="22">
                  <c:v>25222</c:v>
                </c:pt>
              </c:numCache>
            </c:numRef>
          </c:xVal>
          <c:yVal>
            <c:numRef>
              <c:f>Active!$K$21:$K$982</c:f>
              <c:numCache>
                <c:formatCode>General</c:formatCode>
                <c:ptCount val="962"/>
                <c:pt idx="14">
                  <c:v>0.13264680000429507</c:v>
                </c:pt>
                <c:pt idx="15">
                  <c:v>0.12732374999905005</c:v>
                </c:pt>
                <c:pt idx="16">
                  <c:v>0.14636350000364473</c:v>
                </c:pt>
                <c:pt idx="17">
                  <c:v>0.18379694999748608</c:v>
                </c:pt>
                <c:pt idx="18">
                  <c:v>0.18507390000013402</c:v>
                </c:pt>
                <c:pt idx="19">
                  <c:v>0.21304560000135098</c:v>
                </c:pt>
                <c:pt idx="21">
                  <c:v>0.21786264999536797</c:v>
                </c:pt>
                <c:pt idx="22">
                  <c:v>0.23696579999523237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D22-4378-A784-ED07C3CE7CD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1.1999999999999999E-3</c:v>
                  </c:pt>
                  <c:pt idx="17">
                    <c:v>1E-4</c:v>
                  </c:pt>
                  <c:pt idx="18">
                    <c:v>4.0000000000000002E-4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2.0000000000000001E-4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1.1999999999999999E-3</c:v>
                  </c:pt>
                  <c:pt idx="17">
                    <c:v>1E-4</c:v>
                  </c:pt>
                  <c:pt idx="18">
                    <c:v>4.0000000000000002E-4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-48609</c:v>
                </c:pt>
                <c:pt idx="1">
                  <c:v>-48597</c:v>
                </c:pt>
                <c:pt idx="2">
                  <c:v>-43083</c:v>
                </c:pt>
                <c:pt idx="3">
                  <c:v>-43079.5</c:v>
                </c:pt>
                <c:pt idx="4">
                  <c:v>-37515</c:v>
                </c:pt>
                <c:pt idx="5">
                  <c:v>-34741</c:v>
                </c:pt>
                <c:pt idx="6">
                  <c:v>-33249</c:v>
                </c:pt>
                <c:pt idx="7">
                  <c:v>-30566</c:v>
                </c:pt>
                <c:pt idx="8">
                  <c:v>-27746</c:v>
                </c:pt>
                <c:pt idx="9">
                  <c:v>-27731</c:v>
                </c:pt>
                <c:pt idx="10">
                  <c:v>-27727</c:v>
                </c:pt>
                <c:pt idx="11">
                  <c:v>-27704</c:v>
                </c:pt>
                <c:pt idx="12">
                  <c:v>-27635.5</c:v>
                </c:pt>
                <c:pt idx="13">
                  <c:v>-0.5</c:v>
                </c:pt>
                <c:pt idx="14">
                  <c:v>12</c:v>
                </c:pt>
                <c:pt idx="15">
                  <c:v>12.5</c:v>
                </c:pt>
                <c:pt idx="16">
                  <c:v>4465</c:v>
                </c:pt>
                <c:pt idx="17">
                  <c:v>12800.5</c:v>
                </c:pt>
                <c:pt idx="18">
                  <c:v>12801</c:v>
                </c:pt>
                <c:pt idx="19">
                  <c:v>19704</c:v>
                </c:pt>
                <c:pt idx="20">
                  <c:v>21051.5</c:v>
                </c:pt>
                <c:pt idx="21">
                  <c:v>20863.5</c:v>
                </c:pt>
                <c:pt idx="22">
                  <c:v>25222</c:v>
                </c:pt>
              </c:numCache>
            </c:numRef>
          </c:xVal>
          <c:yVal>
            <c:numRef>
              <c:f>Active!$L$21:$L$982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D22-4378-A784-ED07C3CE7CD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1.1999999999999999E-3</c:v>
                  </c:pt>
                  <c:pt idx="17">
                    <c:v>1E-4</c:v>
                  </c:pt>
                  <c:pt idx="18">
                    <c:v>4.0000000000000002E-4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2.0000000000000001E-4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1.1999999999999999E-3</c:v>
                  </c:pt>
                  <c:pt idx="17">
                    <c:v>1E-4</c:v>
                  </c:pt>
                  <c:pt idx="18">
                    <c:v>4.0000000000000002E-4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-48609</c:v>
                </c:pt>
                <c:pt idx="1">
                  <c:v>-48597</c:v>
                </c:pt>
                <c:pt idx="2">
                  <c:v>-43083</c:v>
                </c:pt>
                <c:pt idx="3">
                  <c:v>-43079.5</c:v>
                </c:pt>
                <c:pt idx="4">
                  <c:v>-37515</c:v>
                </c:pt>
                <c:pt idx="5">
                  <c:v>-34741</c:v>
                </c:pt>
                <c:pt idx="6">
                  <c:v>-33249</c:v>
                </c:pt>
                <c:pt idx="7">
                  <c:v>-30566</c:v>
                </c:pt>
                <c:pt idx="8">
                  <c:v>-27746</c:v>
                </c:pt>
                <c:pt idx="9">
                  <c:v>-27731</c:v>
                </c:pt>
                <c:pt idx="10">
                  <c:v>-27727</c:v>
                </c:pt>
                <c:pt idx="11">
                  <c:v>-27704</c:v>
                </c:pt>
                <c:pt idx="12">
                  <c:v>-27635.5</c:v>
                </c:pt>
                <c:pt idx="13">
                  <c:v>-0.5</c:v>
                </c:pt>
                <c:pt idx="14">
                  <c:v>12</c:v>
                </c:pt>
                <c:pt idx="15">
                  <c:v>12.5</c:v>
                </c:pt>
                <c:pt idx="16">
                  <c:v>4465</c:v>
                </c:pt>
                <c:pt idx="17">
                  <c:v>12800.5</c:v>
                </c:pt>
                <c:pt idx="18">
                  <c:v>12801</c:v>
                </c:pt>
                <c:pt idx="19">
                  <c:v>19704</c:v>
                </c:pt>
                <c:pt idx="20">
                  <c:v>21051.5</c:v>
                </c:pt>
                <c:pt idx="21">
                  <c:v>20863.5</c:v>
                </c:pt>
                <c:pt idx="22">
                  <c:v>25222</c:v>
                </c:pt>
              </c:numCache>
            </c:numRef>
          </c:xVal>
          <c:yVal>
            <c:numRef>
              <c:f>Active!$M$21:$M$982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D22-4378-A784-ED07C3CE7CD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1.1999999999999999E-3</c:v>
                  </c:pt>
                  <c:pt idx="17">
                    <c:v>1E-4</c:v>
                  </c:pt>
                  <c:pt idx="18">
                    <c:v>4.0000000000000002E-4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2.0000000000000001E-4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1.1999999999999999E-3</c:v>
                  </c:pt>
                  <c:pt idx="17">
                    <c:v>1E-4</c:v>
                  </c:pt>
                  <c:pt idx="18">
                    <c:v>4.0000000000000002E-4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-48609</c:v>
                </c:pt>
                <c:pt idx="1">
                  <c:v>-48597</c:v>
                </c:pt>
                <c:pt idx="2">
                  <c:v>-43083</c:v>
                </c:pt>
                <c:pt idx="3">
                  <c:v>-43079.5</c:v>
                </c:pt>
                <c:pt idx="4">
                  <c:v>-37515</c:v>
                </c:pt>
                <c:pt idx="5">
                  <c:v>-34741</c:v>
                </c:pt>
                <c:pt idx="6">
                  <c:v>-33249</c:v>
                </c:pt>
                <c:pt idx="7">
                  <c:v>-30566</c:v>
                </c:pt>
                <c:pt idx="8">
                  <c:v>-27746</c:v>
                </c:pt>
                <c:pt idx="9">
                  <c:v>-27731</c:v>
                </c:pt>
                <c:pt idx="10">
                  <c:v>-27727</c:v>
                </c:pt>
                <c:pt idx="11">
                  <c:v>-27704</c:v>
                </c:pt>
                <c:pt idx="12">
                  <c:v>-27635.5</c:v>
                </c:pt>
                <c:pt idx="13">
                  <c:v>-0.5</c:v>
                </c:pt>
                <c:pt idx="14">
                  <c:v>12</c:v>
                </c:pt>
                <c:pt idx="15">
                  <c:v>12.5</c:v>
                </c:pt>
                <c:pt idx="16">
                  <c:v>4465</c:v>
                </c:pt>
                <c:pt idx="17">
                  <c:v>12800.5</c:v>
                </c:pt>
                <c:pt idx="18">
                  <c:v>12801</c:v>
                </c:pt>
                <c:pt idx="19">
                  <c:v>19704</c:v>
                </c:pt>
                <c:pt idx="20">
                  <c:v>21051.5</c:v>
                </c:pt>
                <c:pt idx="21">
                  <c:v>20863.5</c:v>
                </c:pt>
                <c:pt idx="22">
                  <c:v>25222</c:v>
                </c:pt>
              </c:numCache>
            </c:numRef>
          </c:xVal>
          <c:yVal>
            <c:numRef>
              <c:f>Active!$N$21:$N$982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D22-4378-A784-ED07C3CE7CD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-48609</c:v>
                </c:pt>
                <c:pt idx="1">
                  <c:v>-48597</c:v>
                </c:pt>
                <c:pt idx="2">
                  <c:v>-43083</c:v>
                </c:pt>
                <c:pt idx="3">
                  <c:v>-43079.5</c:v>
                </c:pt>
                <c:pt idx="4">
                  <c:v>-37515</c:v>
                </c:pt>
                <c:pt idx="5">
                  <c:v>-34741</c:v>
                </c:pt>
                <c:pt idx="6">
                  <c:v>-33249</c:v>
                </c:pt>
                <c:pt idx="7">
                  <c:v>-30566</c:v>
                </c:pt>
                <c:pt idx="8">
                  <c:v>-27746</c:v>
                </c:pt>
                <c:pt idx="9">
                  <c:v>-27731</c:v>
                </c:pt>
                <c:pt idx="10">
                  <c:v>-27727</c:v>
                </c:pt>
                <c:pt idx="11">
                  <c:v>-27704</c:v>
                </c:pt>
                <c:pt idx="12">
                  <c:v>-27635.5</c:v>
                </c:pt>
                <c:pt idx="13">
                  <c:v>-0.5</c:v>
                </c:pt>
                <c:pt idx="14">
                  <c:v>12</c:v>
                </c:pt>
                <c:pt idx="15">
                  <c:v>12.5</c:v>
                </c:pt>
                <c:pt idx="16">
                  <c:v>4465</c:v>
                </c:pt>
                <c:pt idx="17">
                  <c:v>12800.5</c:v>
                </c:pt>
                <c:pt idx="18">
                  <c:v>12801</c:v>
                </c:pt>
                <c:pt idx="19">
                  <c:v>19704</c:v>
                </c:pt>
                <c:pt idx="20">
                  <c:v>21051.5</c:v>
                </c:pt>
                <c:pt idx="21">
                  <c:v>20863.5</c:v>
                </c:pt>
                <c:pt idx="22">
                  <c:v>25222</c:v>
                </c:pt>
              </c:numCache>
            </c:numRef>
          </c:xVal>
          <c:yVal>
            <c:numRef>
              <c:f>Active!$O$21:$O$982</c:f>
              <c:numCache>
                <c:formatCode>General</c:formatCode>
                <c:ptCount val="962"/>
                <c:pt idx="0">
                  <c:v>-7.6130936170797109E-2</c:v>
                </c:pt>
                <c:pt idx="1">
                  <c:v>-7.6080104998089648E-2</c:v>
                </c:pt>
                <c:pt idx="2">
                  <c:v>-5.2723181139006065E-2</c:v>
                </c:pt>
                <c:pt idx="3">
                  <c:v>-5.2708355380299721E-2</c:v>
                </c:pt>
                <c:pt idx="4">
                  <c:v>-2.9137517002738894E-2</c:v>
                </c:pt>
                <c:pt idx="5">
                  <c:v>-1.7387044245194855E-2</c:v>
                </c:pt>
                <c:pt idx="6">
                  <c:v>-1.1067035105232437E-2</c:v>
                </c:pt>
                <c:pt idx="7">
                  <c:v>2.979679259465795E-4</c:v>
                </c:pt>
                <c:pt idx="8">
                  <c:v>1.2243293512202602E-2</c:v>
                </c:pt>
                <c:pt idx="9">
                  <c:v>1.2306832478086935E-2</c:v>
                </c:pt>
                <c:pt idx="10">
                  <c:v>1.2323776202322764E-2</c:v>
                </c:pt>
                <c:pt idx="11">
                  <c:v>1.2421202616678756E-2</c:v>
                </c:pt>
                <c:pt idx="12">
                  <c:v>1.2711363894217245E-2</c:v>
                </c:pt>
                <c:pt idx="13">
                  <c:v>0.1297713187084672</c:v>
                </c:pt>
                <c:pt idx="14">
                  <c:v>0.12982426784670414</c:v>
                </c:pt>
                <c:pt idx="15">
                  <c:v>0.12982638581223363</c:v>
                </c:pt>
                <c:pt idx="16">
                  <c:v>0.14868686885223537</c:v>
                </c:pt>
                <c:pt idx="17">
                  <c:v>0.18399547219416337</c:v>
                </c:pt>
                <c:pt idx="18">
                  <c:v>0.18399759015969286</c:v>
                </c:pt>
                <c:pt idx="19">
                  <c:v>0.21323822225966635</c:v>
                </c:pt>
                <c:pt idx="20">
                  <c:v>0.21894613936160962</c:v>
                </c:pt>
                <c:pt idx="21">
                  <c:v>0.21814978432252585</c:v>
                </c:pt>
                <c:pt idx="22">
                  <c:v>0.23661208984298573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D22-4378-A784-ED07C3CE7CD9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-48609</c:v>
                </c:pt>
                <c:pt idx="1">
                  <c:v>-48597</c:v>
                </c:pt>
                <c:pt idx="2">
                  <c:v>-43083</c:v>
                </c:pt>
                <c:pt idx="3">
                  <c:v>-43079.5</c:v>
                </c:pt>
                <c:pt idx="4">
                  <c:v>-37515</c:v>
                </c:pt>
                <c:pt idx="5">
                  <c:v>-34741</c:v>
                </c:pt>
                <c:pt idx="6">
                  <c:v>-33249</c:v>
                </c:pt>
                <c:pt idx="7">
                  <c:v>-30566</c:v>
                </c:pt>
                <c:pt idx="8">
                  <c:v>-27746</c:v>
                </c:pt>
                <c:pt idx="9">
                  <c:v>-27731</c:v>
                </c:pt>
                <c:pt idx="10">
                  <c:v>-27727</c:v>
                </c:pt>
                <c:pt idx="11">
                  <c:v>-27704</c:v>
                </c:pt>
                <c:pt idx="12">
                  <c:v>-27635.5</c:v>
                </c:pt>
                <c:pt idx="13">
                  <c:v>-0.5</c:v>
                </c:pt>
                <c:pt idx="14">
                  <c:v>12</c:v>
                </c:pt>
                <c:pt idx="15">
                  <c:v>12.5</c:v>
                </c:pt>
                <c:pt idx="16">
                  <c:v>4465</c:v>
                </c:pt>
                <c:pt idx="17">
                  <c:v>12800.5</c:v>
                </c:pt>
                <c:pt idx="18">
                  <c:v>12801</c:v>
                </c:pt>
                <c:pt idx="19">
                  <c:v>19704</c:v>
                </c:pt>
                <c:pt idx="20">
                  <c:v>21051.5</c:v>
                </c:pt>
                <c:pt idx="21">
                  <c:v>20863.5</c:v>
                </c:pt>
                <c:pt idx="22">
                  <c:v>25222</c:v>
                </c:pt>
              </c:numCache>
            </c:numRef>
          </c:xVal>
          <c:yVal>
            <c:numRef>
              <c:f>Active!$U$21:$U$982</c:f>
              <c:numCache>
                <c:formatCode>General</c:formatCode>
                <c:ptCount val="962"/>
                <c:pt idx="20">
                  <c:v>8.752585000183899E-2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D22-4378-A784-ED07C3CE7C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9188192"/>
        <c:axId val="1"/>
      </c:scatterChart>
      <c:valAx>
        <c:axId val="2991881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451127819549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991881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353383458646616"/>
          <c:y val="0.92397937099967764"/>
          <c:w val="0.7007518796992481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0</xdr:row>
      <xdr:rowOff>0</xdr:rowOff>
    </xdr:from>
    <xdr:to>
      <xdr:col>18</xdr:col>
      <xdr:colOff>190500</xdr:colOff>
      <xdr:row>18</xdr:row>
      <xdr:rowOff>152400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C449C6B2-4C6B-5375-4A1F-27F9895635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://vsolj.cetus-net.org/bulletin.html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konkoly.hu/cgi-bin/IBVS?6011" TargetMode="External"/><Relationship Id="rId2" Type="http://schemas.openxmlformats.org/officeDocument/2006/relationships/hyperlink" Target="http://www.konkoly.hu/cgi-bin/IBVS?5713" TargetMode="External"/><Relationship Id="rId1" Type="http://schemas.openxmlformats.org/officeDocument/2006/relationships/hyperlink" Target="http://www.bav-astro.de/LkDB/index.php?lang=en&amp;sprache_dial=en" TargetMode="External"/><Relationship Id="rId4" Type="http://schemas.openxmlformats.org/officeDocument/2006/relationships/hyperlink" Target="http://www.konkoly.hu/cgi-bin/IBVS?601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23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1" sqref="F11"/>
    </sheetView>
  </sheetViews>
  <sheetFormatPr defaultColWidth="10.28515625" defaultRowHeight="12.75" x14ac:dyDescent="0.2"/>
  <cols>
    <col min="1" max="1" width="16.1406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5703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35</v>
      </c>
    </row>
    <row r="2" spans="1:6" x14ac:dyDescent="0.2">
      <c r="A2" t="s">
        <v>24</v>
      </c>
      <c r="B2" t="s">
        <v>36</v>
      </c>
      <c r="C2" s="3"/>
      <c r="D2" s="3"/>
    </row>
    <row r="3" spans="1:6" ht="13.5" thickBot="1" x14ac:dyDescent="0.25"/>
    <row r="4" spans="1:6" ht="14.25" thickTop="1" thickBot="1" x14ac:dyDescent="0.25">
      <c r="A4" s="5" t="s">
        <v>1</v>
      </c>
      <c r="C4" s="8">
        <v>52500.120999999999</v>
      </c>
      <c r="D4" s="9">
        <v>0.2620461</v>
      </c>
      <c r="E4" s="30" t="s">
        <v>33</v>
      </c>
    </row>
    <row r="5" spans="1:6" ht="13.5" thickTop="1" x14ac:dyDescent="0.2">
      <c r="A5" s="11" t="s">
        <v>26</v>
      </c>
      <c r="B5" s="12"/>
      <c r="C5" s="13">
        <v>-9.5</v>
      </c>
      <c r="D5" s="12" t="s">
        <v>27</v>
      </c>
    </row>
    <row r="6" spans="1:6" x14ac:dyDescent="0.2">
      <c r="A6" s="5" t="s">
        <v>2</v>
      </c>
    </row>
    <row r="7" spans="1:6" x14ac:dyDescent="0.2">
      <c r="A7" t="s">
        <v>3</v>
      </c>
      <c r="C7">
        <f>C4</f>
        <v>52500.120999999999</v>
      </c>
    </row>
    <row r="8" spans="1:6" x14ac:dyDescent="0.2">
      <c r="A8" t="s">
        <v>4</v>
      </c>
      <c r="C8">
        <f>D4</f>
        <v>0.2620461</v>
      </c>
      <c r="D8" s="29"/>
    </row>
    <row r="9" spans="1:6" x14ac:dyDescent="0.2">
      <c r="A9" s="26" t="s">
        <v>31</v>
      </c>
      <c r="B9" s="27">
        <v>34</v>
      </c>
      <c r="C9" s="24" t="str">
        <f>"F"&amp;B9</f>
        <v>F34</v>
      </c>
      <c r="D9" s="25" t="str">
        <f>"G"&amp;B9</f>
        <v>G34</v>
      </c>
    </row>
    <row r="10" spans="1:6" ht="13.5" thickBot="1" x14ac:dyDescent="0.25">
      <c r="A10" s="12"/>
      <c r="B10" s="12"/>
      <c r="C10" s="4" t="s">
        <v>20</v>
      </c>
      <c r="D10" s="4" t="s">
        <v>21</v>
      </c>
      <c r="E10" s="12"/>
    </row>
    <row r="11" spans="1:6" x14ac:dyDescent="0.2">
      <c r="A11" s="12" t="s">
        <v>16</v>
      </c>
      <c r="B11" s="12"/>
      <c r="C11" s="23">
        <f ca="1">INTERCEPT(INDIRECT($D$9):G992,INDIRECT($C$9):F992)</f>
        <v>0.12977343667399668</v>
      </c>
      <c r="D11" s="3"/>
      <c r="E11" s="12"/>
    </row>
    <row r="12" spans="1:6" x14ac:dyDescent="0.2">
      <c r="A12" s="12" t="s">
        <v>17</v>
      </c>
      <c r="B12" s="12"/>
      <c r="C12" s="23">
        <f ca="1">SLOPE(INDIRECT($D$9):G992,INDIRECT($C$9):F992)</f>
        <v>4.2359310589560327E-6</v>
      </c>
      <c r="D12" s="3"/>
      <c r="E12" s="12"/>
    </row>
    <row r="13" spans="1:6" x14ac:dyDescent="0.2">
      <c r="A13" s="12" t="s">
        <v>19</v>
      </c>
      <c r="B13" s="12"/>
      <c r="C13" s="3" t="s">
        <v>14</v>
      </c>
    </row>
    <row r="14" spans="1:6" x14ac:dyDescent="0.2">
      <c r="A14" s="12"/>
      <c r="B14" s="12"/>
      <c r="C14" s="12"/>
    </row>
    <row r="15" spans="1:6" x14ac:dyDescent="0.2">
      <c r="A15" s="14" t="s">
        <v>18</v>
      </c>
      <c r="B15" s="12"/>
      <c r="C15" s="15">
        <f ca="1">(C7+C11)+(C8+C12)*INT(MAX(F21:F3533))</f>
        <v>59109.68434628984</v>
      </c>
      <c r="E15" s="16" t="s">
        <v>40</v>
      </c>
      <c r="F15" s="13">
        <v>1</v>
      </c>
    </row>
    <row r="16" spans="1:6" x14ac:dyDescent="0.2">
      <c r="A16" s="18" t="s">
        <v>5</v>
      </c>
      <c r="B16" s="12"/>
      <c r="C16" s="19">
        <f ca="1">+C8+C12</f>
        <v>0.26205033593105898</v>
      </c>
      <c r="E16" s="16" t="s">
        <v>28</v>
      </c>
      <c r="F16" s="17">
        <f ca="1">NOW()+15018.5+$C$5/24</f>
        <v>60320.786245833333</v>
      </c>
    </row>
    <row r="17" spans="1:21" ht="13.5" thickBot="1" x14ac:dyDescent="0.25">
      <c r="A17" s="16" t="s">
        <v>25</v>
      </c>
      <c r="B17" s="12"/>
      <c r="C17" s="12">
        <f>COUNT(C21:C2191)</f>
        <v>23</v>
      </c>
      <c r="E17" s="16" t="s">
        <v>41</v>
      </c>
      <c r="F17" s="17">
        <f ca="1">ROUND(2*(F16-$C$7)/$C$8,0)/2+F15</f>
        <v>29845.5</v>
      </c>
    </row>
    <row r="18" spans="1:21" ht="14.25" thickTop="1" thickBot="1" x14ac:dyDescent="0.25">
      <c r="A18" s="18" t="s">
        <v>6</v>
      </c>
      <c r="B18" s="12"/>
      <c r="C18" s="21">
        <f ca="1">+C15</f>
        <v>59109.68434628984</v>
      </c>
      <c r="D18" s="22">
        <f ca="1">+C16</f>
        <v>0.26205033593105898</v>
      </c>
      <c r="E18" s="16" t="s">
        <v>29</v>
      </c>
      <c r="F18" s="25">
        <f ca="1">ROUND(2*(F16-$C$15)/$C$16,0)/2+F15</f>
        <v>4622.5</v>
      </c>
    </row>
    <row r="19" spans="1:21" ht="13.5" thickTop="1" x14ac:dyDescent="0.2">
      <c r="E19" s="16" t="s">
        <v>30</v>
      </c>
      <c r="F19" s="20">
        <f ca="1">+$C$15+$C$16*F18-15018.5-$C$5/24</f>
        <v>45302.907857464495</v>
      </c>
    </row>
    <row r="20" spans="1:21" ht="13.5" thickBot="1" x14ac:dyDescent="0.25">
      <c r="A20" s="4" t="s">
        <v>7</v>
      </c>
      <c r="B20" s="4" t="s">
        <v>8</v>
      </c>
      <c r="C20" s="4" t="s">
        <v>9</v>
      </c>
      <c r="D20" s="4" t="s">
        <v>13</v>
      </c>
      <c r="E20" s="4" t="s">
        <v>10</v>
      </c>
      <c r="F20" s="4" t="s">
        <v>11</v>
      </c>
      <c r="G20" s="4" t="s">
        <v>12</v>
      </c>
      <c r="H20" s="7" t="s">
        <v>49</v>
      </c>
      <c r="I20" s="7" t="s">
        <v>52</v>
      </c>
      <c r="J20" s="7" t="s">
        <v>46</v>
      </c>
      <c r="K20" s="7" t="s">
        <v>44</v>
      </c>
      <c r="L20" s="7" t="s">
        <v>119</v>
      </c>
      <c r="M20" s="7" t="s">
        <v>120</v>
      </c>
      <c r="N20" s="7" t="s">
        <v>121</v>
      </c>
      <c r="O20" s="7" t="s">
        <v>23</v>
      </c>
      <c r="P20" s="6" t="s">
        <v>22</v>
      </c>
      <c r="Q20" s="4" t="s">
        <v>15</v>
      </c>
      <c r="U20" s="59" t="s">
        <v>124</v>
      </c>
    </row>
    <row r="21" spans="1:21" x14ac:dyDescent="0.2">
      <c r="A21" s="25" t="s">
        <v>58</v>
      </c>
      <c r="B21" s="3" t="s">
        <v>39</v>
      </c>
      <c r="C21" s="10">
        <v>39762.277999999998</v>
      </c>
      <c r="D21" s="10" t="s">
        <v>52</v>
      </c>
      <c r="E21">
        <f t="shared" ref="E21:E39" si="0">+(C21-C$7)/C$8</f>
        <v>-48609.168386783851</v>
      </c>
      <c r="F21">
        <f t="shared" ref="F21:F33" si="1">ROUND(2*E21,0)/2</f>
        <v>-48609</v>
      </c>
      <c r="G21">
        <f t="shared" ref="G21:G39" si="2">+C21-(C$7+F21*C$8)</f>
        <v>-4.4125100001110695E-2</v>
      </c>
      <c r="I21">
        <f t="shared" ref="I21:I34" si="3">+G21</f>
        <v>-4.4125100001110695E-2</v>
      </c>
      <c r="O21">
        <f t="shared" ref="O21:O39" ca="1" si="4">+C$11+C$12*$F21</f>
        <v>-7.6130936170797109E-2</v>
      </c>
      <c r="Q21" s="2">
        <f t="shared" ref="Q21:Q39" si="5">+C21-15018.5</f>
        <v>24743.777999999998</v>
      </c>
    </row>
    <row r="22" spans="1:21" x14ac:dyDescent="0.2">
      <c r="A22" s="25" t="s">
        <v>58</v>
      </c>
      <c r="B22" s="3" t="s">
        <v>39</v>
      </c>
      <c r="C22" s="10">
        <v>39765.413</v>
      </c>
      <c r="D22" s="10" t="s">
        <v>52</v>
      </c>
      <c r="E22">
        <f t="shared" si="0"/>
        <v>-48597.204842964646</v>
      </c>
      <c r="F22">
        <f t="shared" si="1"/>
        <v>-48597</v>
      </c>
      <c r="G22">
        <f t="shared" si="2"/>
        <v>-5.3678299998864532E-2</v>
      </c>
      <c r="I22">
        <f t="shared" si="3"/>
        <v>-5.3678299998864532E-2</v>
      </c>
      <c r="O22">
        <f t="shared" ca="1" si="4"/>
        <v>-7.6080104998089648E-2</v>
      </c>
      <c r="Q22" s="2">
        <f t="shared" si="5"/>
        <v>24746.913</v>
      </c>
    </row>
    <row r="23" spans="1:21" x14ac:dyDescent="0.2">
      <c r="A23" s="25" t="s">
        <v>58</v>
      </c>
      <c r="B23" s="3" t="s">
        <v>39</v>
      </c>
      <c r="C23" s="10">
        <v>41210.334000000003</v>
      </c>
      <c r="D23" s="10" t="s">
        <v>52</v>
      </c>
      <c r="E23">
        <f t="shared" si="0"/>
        <v>-43083.209404757392</v>
      </c>
      <c r="F23">
        <f t="shared" si="1"/>
        <v>-43083</v>
      </c>
      <c r="G23">
        <f t="shared" si="2"/>
        <v>-5.4873699999006931E-2</v>
      </c>
      <c r="I23">
        <f t="shared" si="3"/>
        <v>-5.4873699999006931E-2</v>
      </c>
      <c r="O23">
        <f t="shared" ca="1" si="4"/>
        <v>-5.2723181139006065E-2</v>
      </c>
      <c r="Q23" s="2">
        <f t="shared" si="5"/>
        <v>26191.834000000003</v>
      </c>
    </row>
    <row r="24" spans="1:21" x14ac:dyDescent="0.2">
      <c r="A24" s="25" t="s">
        <v>58</v>
      </c>
      <c r="B24" s="3" t="s">
        <v>39</v>
      </c>
      <c r="C24" s="10">
        <v>41211.362000000001</v>
      </c>
      <c r="D24" s="10" t="s">
        <v>52</v>
      </c>
      <c r="E24">
        <f t="shared" si="0"/>
        <v>-43079.286430898981</v>
      </c>
      <c r="F24">
        <f t="shared" si="1"/>
        <v>-43079.5</v>
      </c>
      <c r="G24">
        <f t="shared" si="2"/>
        <v>5.5964949999179225E-2</v>
      </c>
      <c r="I24">
        <f t="shared" si="3"/>
        <v>5.5964949999179225E-2</v>
      </c>
      <c r="O24">
        <f t="shared" ca="1" si="4"/>
        <v>-5.2708355380299721E-2</v>
      </c>
      <c r="Q24" s="2">
        <f t="shared" si="5"/>
        <v>26192.862000000001</v>
      </c>
    </row>
    <row r="25" spans="1:21" x14ac:dyDescent="0.2">
      <c r="A25" s="25" t="s">
        <v>58</v>
      </c>
      <c r="B25" s="3" t="s">
        <v>39</v>
      </c>
      <c r="C25" s="10">
        <v>42669.436000000002</v>
      </c>
      <c r="D25" s="10" t="s">
        <v>52</v>
      </c>
      <c r="E25">
        <f t="shared" si="0"/>
        <v>-37515.09753436513</v>
      </c>
      <c r="F25">
        <f t="shared" si="1"/>
        <v>-37515</v>
      </c>
      <c r="G25">
        <f t="shared" si="2"/>
        <v>-2.5558499997714534E-2</v>
      </c>
      <c r="I25">
        <f t="shared" si="3"/>
        <v>-2.5558499997714534E-2</v>
      </c>
      <c r="O25">
        <f t="shared" ca="1" si="4"/>
        <v>-2.9137517002738894E-2</v>
      </c>
      <c r="Q25" s="2">
        <f t="shared" si="5"/>
        <v>27650.936000000002</v>
      </c>
    </row>
    <row r="26" spans="1:21" x14ac:dyDescent="0.2">
      <c r="A26" s="25" t="s">
        <v>58</v>
      </c>
      <c r="B26" s="3" t="s">
        <v>39</v>
      </c>
      <c r="C26" s="10">
        <v>43396.368000000002</v>
      </c>
      <c r="D26" s="10" t="s">
        <v>52</v>
      </c>
      <c r="E26">
        <f t="shared" si="0"/>
        <v>-34741.036023814115</v>
      </c>
      <c r="F26">
        <f t="shared" si="1"/>
        <v>-34741</v>
      </c>
      <c r="G26">
        <f t="shared" si="2"/>
        <v>-9.4398999935947359E-3</v>
      </c>
      <c r="I26">
        <f t="shared" si="3"/>
        <v>-9.4398999935947359E-3</v>
      </c>
      <c r="O26">
        <f t="shared" ca="1" si="4"/>
        <v>-1.7387044245194855E-2</v>
      </c>
      <c r="Q26" s="2">
        <f t="shared" si="5"/>
        <v>28377.868000000002</v>
      </c>
    </row>
    <row r="27" spans="1:21" x14ac:dyDescent="0.2">
      <c r="A27" s="25" t="s">
        <v>58</v>
      </c>
      <c r="B27" s="3" t="s">
        <v>39</v>
      </c>
      <c r="C27" s="10">
        <v>43787.330999999998</v>
      </c>
      <c r="D27" s="10" t="s">
        <v>52</v>
      </c>
      <c r="E27">
        <f t="shared" si="0"/>
        <v>-33249.073350070852</v>
      </c>
      <c r="F27">
        <f t="shared" si="1"/>
        <v>-33249</v>
      </c>
      <c r="G27">
        <f t="shared" si="2"/>
        <v>-1.9221100003051106E-2</v>
      </c>
      <c r="I27">
        <f t="shared" si="3"/>
        <v>-1.9221100003051106E-2</v>
      </c>
      <c r="O27">
        <f t="shared" ca="1" si="4"/>
        <v>-1.1067035105232437E-2</v>
      </c>
      <c r="Q27" s="2">
        <f t="shared" si="5"/>
        <v>28768.830999999998</v>
      </c>
    </row>
    <row r="28" spans="1:21" x14ac:dyDescent="0.2">
      <c r="A28" s="25" t="s">
        <v>58</v>
      </c>
      <c r="B28" s="3" t="s">
        <v>39</v>
      </c>
      <c r="C28" s="10">
        <v>44490.400000000001</v>
      </c>
      <c r="D28" s="10" t="s">
        <v>52</v>
      </c>
      <c r="E28">
        <f t="shared" si="0"/>
        <v>-30566.07596907566</v>
      </c>
      <c r="F28">
        <f t="shared" si="1"/>
        <v>-30566</v>
      </c>
      <c r="G28">
        <f t="shared" si="2"/>
        <v>-1.9907399997464381E-2</v>
      </c>
      <c r="I28">
        <f t="shared" si="3"/>
        <v>-1.9907399997464381E-2</v>
      </c>
      <c r="O28">
        <f t="shared" ca="1" si="4"/>
        <v>2.979679259465795E-4</v>
      </c>
      <c r="Q28" s="2">
        <f t="shared" si="5"/>
        <v>29471.9</v>
      </c>
    </row>
    <row r="29" spans="1:21" x14ac:dyDescent="0.2">
      <c r="A29" s="25" t="s">
        <v>58</v>
      </c>
      <c r="B29" s="3" t="s">
        <v>39</v>
      </c>
      <c r="C29" s="10">
        <v>45229.396999999997</v>
      </c>
      <c r="D29" s="10" t="s">
        <v>52</v>
      </c>
      <c r="E29">
        <f t="shared" si="0"/>
        <v>-27745.972941402302</v>
      </c>
      <c r="F29">
        <f t="shared" si="1"/>
        <v>-27746</v>
      </c>
      <c r="G29">
        <f t="shared" si="2"/>
        <v>7.0905999964452349E-3</v>
      </c>
      <c r="I29">
        <f t="shared" si="3"/>
        <v>7.0905999964452349E-3</v>
      </c>
      <c r="O29">
        <f t="shared" ca="1" si="4"/>
        <v>1.2243293512202602E-2</v>
      </c>
      <c r="Q29" s="2">
        <f t="shared" si="5"/>
        <v>30210.896999999997</v>
      </c>
    </row>
    <row r="30" spans="1:21" x14ac:dyDescent="0.2">
      <c r="A30" s="25" t="s">
        <v>58</v>
      </c>
      <c r="B30" s="3" t="s">
        <v>39</v>
      </c>
      <c r="C30" s="10">
        <v>45233.336000000003</v>
      </c>
      <c r="D30" s="10" t="s">
        <v>52</v>
      </c>
      <c r="E30">
        <f t="shared" si="0"/>
        <v>-27730.941235149068</v>
      </c>
      <c r="F30">
        <f t="shared" si="1"/>
        <v>-27731</v>
      </c>
      <c r="G30">
        <f t="shared" si="2"/>
        <v>1.5399100004287902E-2</v>
      </c>
      <c r="I30">
        <f t="shared" si="3"/>
        <v>1.5399100004287902E-2</v>
      </c>
      <c r="O30">
        <f t="shared" ca="1" si="4"/>
        <v>1.2306832478086935E-2</v>
      </c>
      <c r="Q30" s="2">
        <f t="shared" si="5"/>
        <v>30214.836000000003</v>
      </c>
    </row>
    <row r="31" spans="1:21" x14ac:dyDescent="0.2">
      <c r="A31" s="25" t="s">
        <v>58</v>
      </c>
      <c r="B31" s="3" t="s">
        <v>39</v>
      </c>
      <c r="C31" s="10">
        <v>45234.372000000003</v>
      </c>
      <c r="D31" s="10" t="s">
        <v>52</v>
      </c>
      <c r="E31">
        <f t="shared" si="0"/>
        <v>-27726.987732311209</v>
      </c>
      <c r="F31">
        <f t="shared" si="1"/>
        <v>-27727</v>
      </c>
      <c r="G31">
        <f t="shared" si="2"/>
        <v>3.2147000019904226E-3</v>
      </c>
      <c r="I31">
        <f t="shared" si="3"/>
        <v>3.2147000019904226E-3</v>
      </c>
      <c r="O31">
        <f t="shared" ca="1" si="4"/>
        <v>1.2323776202322764E-2</v>
      </c>
      <c r="Q31" s="2">
        <f t="shared" si="5"/>
        <v>30215.872000000003</v>
      </c>
    </row>
    <row r="32" spans="1:21" x14ac:dyDescent="0.2">
      <c r="A32" s="25" t="s">
        <v>58</v>
      </c>
      <c r="B32" s="3" t="s">
        <v>39</v>
      </c>
      <c r="C32" s="10">
        <v>45240.4</v>
      </c>
      <c r="D32" s="10" t="s">
        <v>52</v>
      </c>
      <c r="E32">
        <f t="shared" si="0"/>
        <v>-27703.984146300965</v>
      </c>
      <c r="F32">
        <f t="shared" si="1"/>
        <v>-27704</v>
      </c>
      <c r="G32">
        <f t="shared" si="2"/>
        <v>4.1544000050635077E-3</v>
      </c>
      <c r="I32">
        <f t="shared" si="3"/>
        <v>4.1544000050635077E-3</v>
      </c>
      <c r="O32">
        <f t="shared" ca="1" si="4"/>
        <v>1.2421202616678756E-2</v>
      </c>
      <c r="Q32" s="2">
        <f t="shared" si="5"/>
        <v>30221.9</v>
      </c>
    </row>
    <row r="33" spans="1:21" x14ac:dyDescent="0.2">
      <c r="A33" s="25" t="s">
        <v>58</v>
      </c>
      <c r="B33" s="3" t="s">
        <v>32</v>
      </c>
      <c r="C33" s="10">
        <v>45258.351999999999</v>
      </c>
      <c r="D33" s="10" t="s">
        <v>52</v>
      </c>
      <c r="E33">
        <f t="shared" si="0"/>
        <v>-27635.47711643104</v>
      </c>
      <c r="F33">
        <f t="shared" si="1"/>
        <v>-27635.5</v>
      </c>
      <c r="G33">
        <f t="shared" si="2"/>
        <v>5.9965499967802316E-3</v>
      </c>
      <c r="I33">
        <f t="shared" si="3"/>
        <v>5.9965499967802316E-3</v>
      </c>
      <c r="O33">
        <f t="shared" ca="1" si="4"/>
        <v>1.2711363894217245E-2</v>
      </c>
      <c r="Q33" s="2">
        <f t="shared" si="5"/>
        <v>30239.851999999999</v>
      </c>
    </row>
    <row r="34" spans="1:21" x14ac:dyDescent="0.2">
      <c r="A34" s="32" t="s">
        <v>34</v>
      </c>
      <c r="B34" s="31" t="s">
        <v>32</v>
      </c>
      <c r="C34" s="32">
        <v>52500.120999999999</v>
      </c>
      <c r="D34" s="28"/>
      <c r="E34">
        <f t="shared" si="0"/>
        <v>0</v>
      </c>
      <c r="F34" s="46">
        <f t="shared" ref="F34:F41" si="6">ROUND(2*E34,0)/2-0.5</f>
        <v>-0.5</v>
      </c>
      <c r="G34">
        <f t="shared" si="2"/>
        <v>0.13102305000211345</v>
      </c>
      <c r="I34">
        <f t="shared" si="3"/>
        <v>0.13102305000211345</v>
      </c>
      <c r="O34">
        <f t="shared" ca="1" si="4"/>
        <v>0.1297713187084672</v>
      </c>
      <c r="Q34" s="2">
        <f t="shared" si="5"/>
        <v>37481.620999999999</v>
      </c>
    </row>
    <row r="35" spans="1:21" x14ac:dyDescent="0.2">
      <c r="A35" s="25" t="s">
        <v>101</v>
      </c>
      <c r="B35" s="3" t="s">
        <v>32</v>
      </c>
      <c r="C35" s="10">
        <v>52503.398200000003</v>
      </c>
      <c r="D35" s="10" t="s">
        <v>52</v>
      </c>
      <c r="E35">
        <f t="shared" si="0"/>
        <v>12.506196428811901</v>
      </c>
      <c r="F35" s="46">
        <f t="shared" si="6"/>
        <v>12</v>
      </c>
      <c r="G35">
        <f t="shared" si="2"/>
        <v>0.13264680000429507</v>
      </c>
      <c r="K35">
        <f t="shared" ref="K35:K40" si="7">+G35</f>
        <v>0.13264680000429507</v>
      </c>
      <c r="O35">
        <f t="shared" ca="1" si="4"/>
        <v>0.12982426784670414</v>
      </c>
      <c r="Q35" s="2">
        <f t="shared" si="5"/>
        <v>37484.898200000003</v>
      </c>
    </row>
    <row r="36" spans="1:21" x14ac:dyDescent="0.2">
      <c r="A36" s="25" t="s">
        <v>101</v>
      </c>
      <c r="B36" s="3" t="s">
        <v>39</v>
      </c>
      <c r="C36" s="10">
        <v>52503.5239</v>
      </c>
      <c r="D36" s="10" t="s">
        <v>52</v>
      </c>
      <c r="E36">
        <f t="shared" si="0"/>
        <v>12.985883018296988</v>
      </c>
      <c r="F36" s="46">
        <f t="shared" si="6"/>
        <v>12.5</v>
      </c>
      <c r="G36">
        <f t="shared" si="2"/>
        <v>0.12732374999905005</v>
      </c>
      <c r="K36">
        <f t="shared" si="7"/>
        <v>0.12732374999905005</v>
      </c>
      <c r="O36">
        <f t="shared" ca="1" si="4"/>
        <v>0.12982638581223363</v>
      </c>
      <c r="Q36" s="2">
        <f t="shared" si="5"/>
        <v>37485.0239</v>
      </c>
    </row>
    <row r="37" spans="1:21" x14ac:dyDescent="0.2">
      <c r="A37" s="47" t="s">
        <v>37</v>
      </c>
      <c r="B37" s="31" t="s">
        <v>32</v>
      </c>
      <c r="C37" s="47">
        <v>53670.303200000002</v>
      </c>
      <c r="D37" s="47">
        <v>1.1999999999999999E-3</v>
      </c>
      <c r="E37">
        <f t="shared" si="0"/>
        <v>4465.5585410353478</v>
      </c>
      <c r="F37" s="46">
        <f t="shared" si="6"/>
        <v>4465</v>
      </c>
      <c r="G37">
        <f t="shared" si="2"/>
        <v>0.14636350000364473</v>
      </c>
      <c r="K37">
        <f t="shared" si="7"/>
        <v>0.14636350000364473</v>
      </c>
      <c r="O37">
        <f t="shared" ca="1" si="4"/>
        <v>0.14868686885223537</v>
      </c>
      <c r="Q37" s="2">
        <f t="shared" si="5"/>
        <v>38651.803200000002</v>
      </c>
    </row>
    <row r="38" spans="1:21" x14ac:dyDescent="0.2">
      <c r="A38" s="48" t="s">
        <v>38</v>
      </c>
      <c r="B38" s="49" t="s">
        <v>39</v>
      </c>
      <c r="C38" s="48">
        <v>55854.625899999999</v>
      </c>
      <c r="D38" s="48">
        <v>1E-4</v>
      </c>
      <c r="E38">
        <f t="shared" si="0"/>
        <v>12801.201391663528</v>
      </c>
      <c r="F38" s="46">
        <f t="shared" si="6"/>
        <v>12800.5</v>
      </c>
      <c r="G38">
        <f t="shared" si="2"/>
        <v>0.18379694999748608</v>
      </c>
      <c r="K38">
        <f t="shared" si="7"/>
        <v>0.18379694999748608</v>
      </c>
      <c r="O38">
        <f t="shared" ca="1" si="4"/>
        <v>0.18399547219416337</v>
      </c>
      <c r="Q38" s="2">
        <f t="shared" si="5"/>
        <v>40836.125899999999</v>
      </c>
    </row>
    <row r="39" spans="1:21" x14ac:dyDescent="0.2">
      <c r="A39" s="48" t="s">
        <v>38</v>
      </c>
      <c r="B39" s="49" t="s">
        <v>32</v>
      </c>
      <c r="C39" s="48">
        <v>55854.758199999997</v>
      </c>
      <c r="D39" s="48">
        <v>4.0000000000000002E-4</v>
      </c>
      <c r="E39">
        <f t="shared" si="0"/>
        <v>12801.706264661056</v>
      </c>
      <c r="F39" s="46">
        <f t="shared" si="6"/>
        <v>12801</v>
      </c>
      <c r="G39">
        <f t="shared" si="2"/>
        <v>0.18507390000013402</v>
      </c>
      <c r="K39">
        <f t="shared" si="7"/>
        <v>0.18507390000013402</v>
      </c>
      <c r="O39">
        <f t="shared" ca="1" si="4"/>
        <v>0.18399759015969286</v>
      </c>
      <c r="Q39" s="2">
        <f t="shared" si="5"/>
        <v>40836.258199999997</v>
      </c>
    </row>
    <row r="40" spans="1:21" x14ac:dyDescent="0.2">
      <c r="A40" s="50" t="s">
        <v>0</v>
      </c>
      <c r="B40" s="51" t="s">
        <v>32</v>
      </c>
      <c r="C40" s="52">
        <v>57663.690399999999</v>
      </c>
      <c r="D40" s="52">
        <v>1E-4</v>
      </c>
      <c r="E40">
        <f>+(C40-C$7)/C$8</f>
        <v>19704.813008092853</v>
      </c>
      <c r="F40" s="46">
        <f>ROUND(2*E40,0)/2-1</f>
        <v>19704</v>
      </c>
      <c r="G40">
        <f>+C40-(C$7+F40*C$8)</f>
        <v>0.21304560000135098</v>
      </c>
      <c r="K40">
        <f t="shared" si="7"/>
        <v>0.21304560000135098</v>
      </c>
      <c r="O40">
        <f ca="1">+C$11+C$12*$F40</f>
        <v>0.21323822225966635</v>
      </c>
      <c r="Q40" s="2">
        <f>+C40-15018.5</f>
        <v>42645.190399999999</v>
      </c>
    </row>
    <row r="41" spans="1:21" x14ac:dyDescent="0.2">
      <c r="A41" s="53" t="s">
        <v>122</v>
      </c>
      <c r="B41" s="54" t="s">
        <v>32</v>
      </c>
      <c r="C41" s="55">
        <v>58016.671999999999</v>
      </c>
      <c r="D41" s="55">
        <v>1E-4</v>
      </c>
      <c r="E41">
        <f>+(C41-C$7)/C$8</f>
        <v>21051.83400935942</v>
      </c>
      <c r="F41" s="46">
        <f t="shared" si="6"/>
        <v>21051.5</v>
      </c>
      <c r="O41">
        <f ca="1">+C$11+C$12*$F41</f>
        <v>0.21894613936160962</v>
      </c>
      <c r="Q41" s="2">
        <f>+C41-15018.5</f>
        <v>42998.171999999999</v>
      </c>
      <c r="U41">
        <f>+C41-(C$7+F41*C$8)</f>
        <v>8.752585000183899E-2</v>
      </c>
    </row>
    <row r="42" spans="1:21" x14ac:dyDescent="0.2">
      <c r="A42" s="56" t="s">
        <v>123</v>
      </c>
      <c r="B42" s="57" t="s">
        <v>39</v>
      </c>
      <c r="C42" s="58">
        <v>57967.537669999991</v>
      </c>
      <c r="D42" s="58">
        <v>2.9999999999999997E-4</v>
      </c>
      <c r="E42">
        <f>+(C42-C$7)/C$8</f>
        <v>20864.331390545372</v>
      </c>
      <c r="F42" s="46">
        <f>ROUND(2*E42,0)/2-1</f>
        <v>20863.5</v>
      </c>
      <c r="G42">
        <f>+C42-(C$7+F42*C$8)</f>
        <v>0.21786264999536797</v>
      </c>
      <c r="K42">
        <f>+G42</f>
        <v>0.21786264999536797</v>
      </c>
      <c r="O42">
        <f ca="1">+C$11+C$12*$F42</f>
        <v>0.21814978432252585</v>
      </c>
      <c r="Q42" s="2">
        <f>+C42-15018.5</f>
        <v>42949.037669999991</v>
      </c>
    </row>
    <row r="43" spans="1:21" x14ac:dyDescent="0.2">
      <c r="A43" s="60" t="s">
        <v>125</v>
      </c>
      <c r="B43" s="54" t="s">
        <v>32</v>
      </c>
      <c r="C43" s="55">
        <v>59109.684699999998</v>
      </c>
      <c r="D43" s="55">
        <v>2.0000000000000001E-4</v>
      </c>
      <c r="E43">
        <f>+(C43-C$7)/C$8</f>
        <v>25222.904290504604</v>
      </c>
      <c r="F43" s="46">
        <f>ROUND(2*E43,0)/2-1</f>
        <v>25222</v>
      </c>
      <c r="G43">
        <f>+C43-(C$7+F43*C$8)</f>
        <v>0.23696579999523237</v>
      </c>
      <c r="K43">
        <f>+G43</f>
        <v>0.23696579999523237</v>
      </c>
      <c r="O43">
        <f ca="1">+C$11+C$12*$F43</f>
        <v>0.23661208984298573</v>
      </c>
      <c r="Q43" s="2">
        <f>+C43-15018.5</f>
        <v>44091.184699999998</v>
      </c>
    </row>
    <row r="44" spans="1:21" x14ac:dyDescent="0.2">
      <c r="B44" s="3"/>
      <c r="C44" s="10"/>
      <c r="D44" s="10"/>
    </row>
    <row r="45" spans="1:21" x14ac:dyDescent="0.2">
      <c r="B45" s="3"/>
      <c r="C45" s="10"/>
      <c r="D45" s="10"/>
    </row>
    <row r="46" spans="1:21" x14ac:dyDescent="0.2">
      <c r="B46" s="3"/>
      <c r="C46" s="10"/>
      <c r="D46" s="10"/>
    </row>
    <row r="47" spans="1:21" x14ac:dyDescent="0.2">
      <c r="B47" s="3"/>
      <c r="C47" s="10"/>
      <c r="D47" s="10"/>
    </row>
    <row r="48" spans="1:21" x14ac:dyDescent="0.2">
      <c r="B48" s="3"/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</sheetData>
  <protectedRanges>
    <protectedRange sqref="A41:D42" name="Range1"/>
  </protectedRanges>
  <phoneticPr fontId="8" type="noConversion"/>
  <hyperlinks>
    <hyperlink ref="H64773" r:id="rId1" display="http://vsolj.cetus-net.org/bulletin.html"/>
    <hyperlink ref="H64766" r:id="rId2" display="http://vsolj.cetus-net.org/bulletin.html"/>
    <hyperlink ref="AP2263" r:id="rId3" display="http://cdsbib.u-strasbg.fr/cgi-bin/cdsbib?1990RMxAA..21..381G"/>
    <hyperlink ref="AP2266" r:id="rId4" display="http://cdsbib.u-strasbg.fr/cgi-bin/cdsbib?1990RMxAA..21..381G"/>
    <hyperlink ref="AP2264" r:id="rId5" display="http://cdsbib.u-strasbg.fr/cgi-bin/cdsbib?1990RMxAA..21..381G"/>
    <hyperlink ref="AP2242" r:id="rId6" display="http://cdsbib.u-strasbg.fr/cgi-bin/cdsbib?1990RMxAA..21..381G"/>
    <hyperlink ref="I64773" r:id="rId7" display="http://vsolj.cetus-net.org/bulletin.html"/>
    <hyperlink ref="AQ2376" r:id="rId8" display="http://cdsbib.u-strasbg.fr/cgi-bin/cdsbib?1990RMxAA..21..381G"/>
    <hyperlink ref="AQ645" r:id="rId9" display="http://cdsbib.u-strasbg.fr/cgi-bin/cdsbib?1990RMxAA..21..381G"/>
    <hyperlink ref="AQ2377" r:id="rId10" display="http://cdsbib.u-strasbg.fr/cgi-bin/cdsbib?1990RMxAA..21..381G"/>
    <hyperlink ref="H64770" r:id="rId11" display="https://www.aavso.org/ejaavso"/>
  </hyperlinks>
  <pageMargins left="0.75" right="0.75" top="1" bottom="1" header="0.5" footer="0.5"/>
  <headerFooter alignWithMargins="0"/>
  <drawing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50"/>
  <sheetViews>
    <sheetView workbookViewId="0">
      <selection activeCell="A11" sqref="A11:D25"/>
    </sheetView>
  </sheetViews>
  <sheetFormatPr defaultRowHeight="12.75" x14ac:dyDescent="0.2"/>
  <cols>
    <col min="1" max="1" width="19.7109375" style="10" customWidth="1"/>
    <col min="2" max="2" width="4.42578125" style="12" customWidth="1"/>
    <col min="3" max="3" width="12.7109375" style="10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10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33" t="s">
        <v>42</v>
      </c>
      <c r="I1" s="34" t="s">
        <v>43</v>
      </c>
      <c r="J1" s="35" t="s">
        <v>44</v>
      </c>
    </row>
    <row r="2" spans="1:16" x14ac:dyDescent="0.2">
      <c r="I2" s="36" t="s">
        <v>45</v>
      </c>
      <c r="J2" s="37" t="s">
        <v>46</v>
      </c>
    </row>
    <row r="3" spans="1:16" x14ac:dyDescent="0.2">
      <c r="A3" s="38" t="s">
        <v>47</v>
      </c>
      <c r="I3" s="36" t="s">
        <v>48</v>
      </c>
      <c r="J3" s="37" t="s">
        <v>49</v>
      </c>
    </row>
    <row r="4" spans="1:16" x14ac:dyDescent="0.2">
      <c r="I4" s="36" t="s">
        <v>50</v>
      </c>
      <c r="J4" s="37" t="s">
        <v>49</v>
      </c>
    </row>
    <row r="5" spans="1:16" ht="13.5" thickBot="1" x14ac:dyDescent="0.25">
      <c r="I5" s="39" t="s">
        <v>51</v>
      </c>
      <c r="J5" s="40" t="s">
        <v>52</v>
      </c>
    </row>
    <row r="10" spans="1:16" ht="13.5" thickBot="1" x14ac:dyDescent="0.25"/>
    <row r="11" spans="1:16" ht="12.75" customHeight="1" thickBot="1" x14ac:dyDescent="0.25">
      <c r="A11" s="10" t="str">
        <f t="shared" ref="A11:A28" si="0">P11</f>
        <v> PZ 22.327 </v>
      </c>
      <c r="B11" s="3" t="str">
        <f t="shared" ref="B11:B28" si="1">IF(H11=INT(H11),"I","II")</f>
        <v>II</v>
      </c>
      <c r="C11" s="10">
        <f t="shared" ref="C11:C28" si="2">1*G11</f>
        <v>39762.277999999998</v>
      </c>
      <c r="D11" s="12" t="str">
        <f t="shared" ref="D11:D28" si="3">VLOOKUP(F11,I$1:J$5,2,FALSE)</f>
        <v>vis</v>
      </c>
      <c r="E11" s="41">
        <f>VLOOKUP(C11,Active!C$21:E$973,3,FALSE)</f>
        <v>-48609.168386783851</v>
      </c>
      <c r="F11" s="3" t="s">
        <v>51</v>
      </c>
      <c r="G11" s="12" t="str">
        <f t="shared" ref="G11:G28" si="4">MID(I11,3,LEN(I11)-3)</f>
        <v>39762.278</v>
      </c>
      <c r="H11" s="10">
        <f t="shared" ref="H11:H28" si="5">1*K11</f>
        <v>-54245.5</v>
      </c>
      <c r="I11" s="42" t="s">
        <v>53</v>
      </c>
      <c r="J11" s="43" t="s">
        <v>54</v>
      </c>
      <c r="K11" s="42">
        <v>-54245.5</v>
      </c>
      <c r="L11" s="42" t="s">
        <v>55</v>
      </c>
      <c r="M11" s="43" t="s">
        <v>56</v>
      </c>
      <c r="N11" s="43"/>
      <c r="O11" s="44" t="s">
        <v>57</v>
      </c>
      <c r="P11" s="44" t="s">
        <v>58</v>
      </c>
    </row>
    <row r="12" spans="1:16" ht="12.75" customHeight="1" thickBot="1" x14ac:dyDescent="0.25">
      <c r="A12" s="10" t="str">
        <f t="shared" si="0"/>
        <v> PZ 22.327 </v>
      </c>
      <c r="B12" s="3" t="str">
        <f t="shared" si="1"/>
        <v>II</v>
      </c>
      <c r="C12" s="10">
        <f t="shared" si="2"/>
        <v>39765.413</v>
      </c>
      <c r="D12" s="12" t="str">
        <f t="shared" si="3"/>
        <v>vis</v>
      </c>
      <c r="E12" s="41">
        <f>VLOOKUP(C12,Active!C$21:E$973,3,FALSE)</f>
        <v>-48597.204842964646</v>
      </c>
      <c r="F12" s="3" t="s">
        <v>51</v>
      </c>
      <c r="G12" s="12" t="str">
        <f t="shared" si="4"/>
        <v>39765.413</v>
      </c>
      <c r="H12" s="10">
        <f t="shared" si="5"/>
        <v>-54233.5</v>
      </c>
      <c r="I12" s="42" t="s">
        <v>59</v>
      </c>
      <c r="J12" s="43" t="s">
        <v>60</v>
      </c>
      <c r="K12" s="42">
        <v>-54233.5</v>
      </c>
      <c r="L12" s="42" t="s">
        <v>61</v>
      </c>
      <c r="M12" s="43" t="s">
        <v>56</v>
      </c>
      <c r="N12" s="43"/>
      <c r="O12" s="44" t="s">
        <v>57</v>
      </c>
      <c r="P12" s="44" t="s">
        <v>58</v>
      </c>
    </row>
    <row r="13" spans="1:16" ht="12.75" customHeight="1" thickBot="1" x14ac:dyDescent="0.25">
      <c r="A13" s="10" t="str">
        <f t="shared" si="0"/>
        <v> PZ 22.327 </v>
      </c>
      <c r="B13" s="3" t="str">
        <f t="shared" si="1"/>
        <v>II</v>
      </c>
      <c r="C13" s="10">
        <f t="shared" si="2"/>
        <v>41210.334000000003</v>
      </c>
      <c r="D13" s="12" t="str">
        <f t="shared" si="3"/>
        <v>vis</v>
      </c>
      <c r="E13" s="41">
        <f>VLOOKUP(C13,Active!C$21:E$973,3,FALSE)</f>
        <v>-43083.209404757392</v>
      </c>
      <c r="F13" s="3" t="s">
        <v>51</v>
      </c>
      <c r="G13" s="12" t="str">
        <f t="shared" si="4"/>
        <v>41210.334</v>
      </c>
      <c r="H13" s="10">
        <f t="shared" si="5"/>
        <v>-48719.5</v>
      </c>
      <c r="I13" s="42" t="s">
        <v>62</v>
      </c>
      <c r="J13" s="43" t="s">
        <v>63</v>
      </c>
      <c r="K13" s="42">
        <v>-48719.5</v>
      </c>
      <c r="L13" s="42" t="s">
        <v>64</v>
      </c>
      <c r="M13" s="43" t="s">
        <v>56</v>
      </c>
      <c r="N13" s="43"/>
      <c r="O13" s="44" t="s">
        <v>57</v>
      </c>
      <c r="P13" s="44" t="s">
        <v>58</v>
      </c>
    </row>
    <row r="14" spans="1:16" ht="12.75" customHeight="1" thickBot="1" x14ac:dyDescent="0.25">
      <c r="A14" s="10" t="str">
        <f t="shared" si="0"/>
        <v> PZ 22.327 </v>
      </c>
      <c r="B14" s="3" t="str">
        <f t="shared" si="1"/>
        <v>II</v>
      </c>
      <c r="C14" s="10">
        <f t="shared" si="2"/>
        <v>41211.362000000001</v>
      </c>
      <c r="D14" s="12" t="str">
        <f t="shared" si="3"/>
        <v>vis</v>
      </c>
      <c r="E14" s="41">
        <f>VLOOKUP(C14,Active!C$21:E$973,3,FALSE)</f>
        <v>-43079.286430898981</v>
      </c>
      <c r="F14" s="3" t="s">
        <v>51</v>
      </c>
      <c r="G14" s="12" t="str">
        <f t="shared" si="4"/>
        <v>41211.362</v>
      </c>
      <c r="H14" s="10">
        <f t="shared" si="5"/>
        <v>-48715.5</v>
      </c>
      <c r="I14" s="42" t="s">
        <v>65</v>
      </c>
      <c r="J14" s="43" t="s">
        <v>66</v>
      </c>
      <c r="K14" s="42">
        <v>-48715.5</v>
      </c>
      <c r="L14" s="42" t="s">
        <v>67</v>
      </c>
      <c r="M14" s="43" t="s">
        <v>56</v>
      </c>
      <c r="N14" s="43"/>
      <c r="O14" s="44" t="s">
        <v>57</v>
      </c>
      <c r="P14" s="44" t="s">
        <v>58</v>
      </c>
    </row>
    <row r="15" spans="1:16" ht="12.75" customHeight="1" thickBot="1" x14ac:dyDescent="0.25">
      <c r="A15" s="10" t="str">
        <f t="shared" si="0"/>
        <v> PZ 22.327 </v>
      </c>
      <c r="B15" s="3" t="str">
        <f t="shared" si="1"/>
        <v>II</v>
      </c>
      <c r="C15" s="10">
        <f t="shared" si="2"/>
        <v>42669.436000000002</v>
      </c>
      <c r="D15" s="12" t="str">
        <f t="shared" si="3"/>
        <v>vis</v>
      </c>
      <c r="E15" s="41">
        <f>VLOOKUP(C15,Active!C$21:E$973,3,FALSE)</f>
        <v>-37515.09753436513</v>
      </c>
      <c r="F15" s="3" t="s">
        <v>51</v>
      </c>
      <c r="G15" s="12" t="str">
        <f t="shared" si="4"/>
        <v>42669.436</v>
      </c>
      <c r="H15" s="10">
        <f t="shared" si="5"/>
        <v>-43151.5</v>
      </c>
      <c r="I15" s="42" t="s">
        <v>68</v>
      </c>
      <c r="J15" s="43" t="s">
        <v>69</v>
      </c>
      <c r="K15" s="42">
        <v>-43151.5</v>
      </c>
      <c r="L15" s="42" t="s">
        <v>70</v>
      </c>
      <c r="M15" s="43" t="s">
        <v>56</v>
      </c>
      <c r="N15" s="43"/>
      <c r="O15" s="44" t="s">
        <v>57</v>
      </c>
      <c r="P15" s="44" t="s">
        <v>58</v>
      </c>
    </row>
    <row r="16" spans="1:16" ht="12.75" customHeight="1" thickBot="1" x14ac:dyDescent="0.25">
      <c r="A16" s="10" t="str">
        <f t="shared" si="0"/>
        <v> PZ 22.327 </v>
      </c>
      <c r="B16" s="3" t="str">
        <f t="shared" si="1"/>
        <v>II</v>
      </c>
      <c r="C16" s="10">
        <f t="shared" si="2"/>
        <v>43396.368000000002</v>
      </c>
      <c r="D16" s="12" t="str">
        <f t="shared" si="3"/>
        <v>vis</v>
      </c>
      <c r="E16" s="41">
        <f>VLOOKUP(C16,Active!C$21:E$973,3,FALSE)</f>
        <v>-34741.036023814115</v>
      </c>
      <c r="F16" s="3" t="s">
        <v>51</v>
      </c>
      <c r="G16" s="12" t="str">
        <f t="shared" si="4"/>
        <v>43396.368</v>
      </c>
      <c r="H16" s="10">
        <f t="shared" si="5"/>
        <v>-40377.5</v>
      </c>
      <c r="I16" s="42" t="s">
        <v>71</v>
      </c>
      <c r="J16" s="43" t="s">
        <v>72</v>
      </c>
      <c r="K16" s="42">
        <v>-40377.5</v>
      </c>
      <c r="L16" s="42" t="s">
        <v>73</v>
      </c>
      <c r="M16" s="43" t="s">
        <v>56</v>
      </c>
      <c r="N16" s="43"/>
      <c r="O16" s="44" t="s">
        <v>57</v>
      </c>
      <c r="P16" s="44" t="s">
        <v>58</v>
      </c>
    </row>
    <row r="17" spans="1:16" ht="12.75" customHeight="1" thickBot="1" x14ac:dyDescent="0.25">
      <c r="A17" s="10" t="str">
        <f t="shared" si="0"/>
        <v> PZ 22.327 </v>
      </c>
      <c r="B17" s="3" t="str">
        <f t="shared" si="1"/>
        <v>II</v>
      </c>
      <c r="C17" s="10">
        <f t="shared" si="2"/>
        <v>43787.330999999998</v>
      </c>
      <c r="D17" s="12" t="str">
        <f t="shared" si="3"/>
        <v>vis</v>
      </c>
      <c r="E17" s="41">
        <f>VLOOKUP(C17,Active!C$21:E$973,3,FALSE)</f>
        <v>-33249.073350070852</v>
      </c>
      <c r="F17" s="3" t="s">
        <v>51</v>
      </c>
      <c r="G17" s="12" t="str">
        <f t="shared" si="4"/>
        <v>43787.331</v>
      </c>
      <c r="H17" s="10">
        <f t="shared" si="5"/>
        <v>-38885.5</v>
      </c>
      <c r="I17" s="42" t="s">
        <v>74</v>
      </c>
      <c r="J17" s="43" t="s">
        <v>75</v>
      </c>
      <c r="K17" s="42">
        <v>-38885.5</v>
      </c>
      <c r="L17" s="42" t="s">
        <v>76</v>
      </c>
      <c r="M17" s="43" t="s">
        <v>56</v>
      </c>
      <c r="N17" s="43"/>
      <c r="O17" s="44" t="s">
        <v>57</v>
      </c>
      <c r="P17" s="44" t="s">
        <v>58</v>
      </c>
    </row>
    <row r="18" spans="1:16" ht="12.75" customHeight="1" thickBot="1" x14ac:dyDescent="0.25">
      <c r="A18" s="10" t="str">
        <f t="shared" si="0"/>
        <v> PZ 22.327 </v>
      </c>
      <c r="B18" s="3" t="str">
        <f t="shared" si="1"/>
        <v>II</v>
      </c>
      <c r="C18" s="10">
        <f t="shared" si="2"/>
        <v>44490.400000000001</v>
      </c>
      <c r="D18" s="12" t="str">
        <f t="shared" si="3"/>
        <v>vis</v>
      </c>
      <c r="E18" s="41">
        <f>VLOOKUP(C18,Active!C$21:E$973,3,FALSE)</f>
        <v>-30566.07596907566</v>
      </c>
      <c r="F18" s="3" t="s">
        <v>51</v>
      </c>
      <c r="G18" s="12" t="str">
        <f t="shared" si="4"/>
        <v>44490.400</v>
      </c>
      <c r="H18" s="10">
        <f t="shared" si="5"/>
        <v>-36202.5</v>
      </c>
      <c r="I18" s="42" t="s">
        <v>77</v>
      </c>
      <c r="J18" s="43" t="s">
        <v>78</v>
      </c>
      <c r="K18" s="42">
        <v>-36202.5</v>
      </c>
      <c r="L18" s="42" t="s">
        <v>79</v>
      </c>
      <c r="M18" s="43" t="s">
        <v>56</v>
      </c>
      <c r="N18" s="43"/>
      <c r="O18" s="44" t="s">
        <v>57</v>
      </c>
      <c r="P18" s="44" t="s">
        <v>58</v>
      </c>
    </row>
    <row r="19" spans="1:16" ht="12.75" customHeight="1" thickBot="1" x14ac:dyDescent="0.25">
      <c r="A19" s="10" t="str">
        <f t="shared" si="0"/>
        <v> PZ 22.327 </v>
      </c>
      <c r="B19" s="3" t="str">
        <f t="shared" si="1"/>
        <v>II</v>
      </c>
      <c r="C19" s="10">
        <f t="shared" si="2"/>
        <v>45229.396999999997</v>
      </c>
      <c r="D19" s="12" t="str">
        <f t="shared" si="3"/>
        <v>vis</v>
      </c>
      <c r="E19" s="41">
        <f>VLOOKUP(C19,Active!C$21:E$973,3,FALSE)</f>
        <v>-27745.972941402302</v>
      </c>
      <c r="F19" s="3" t="s">
        <v>51</v>
      </c>
      <c r="G19" s="12" t="str">
        <f t="shared" si="4"/>
        <v>45229.397</v>
      </c>
      <c r="H19" s="10">
        <f t="shared" si="5"/>
        <v>-33382.5</v>
      </c>
      <c r="I19" s="42" t="s">
        <v>80</v>
      </c>
      <c r="J19" s="43" t="s">
        <v>81</v>
      </c>
      <c r="K19" s="42">
        <v>-33382.5</v>
      </c>
      <c r="L19" s="42" t="s">
        <v>82</v>
      </c>
      <c r="M19" s="43" t="s">
        <v>56</v>
      </c>
      <c r="N19" s="43"/>
      <c r="O19" s="44" t="s">
        <v>57</v>
      </c>
      <c r="P19" s="44" t="s">
        <v>58</v>
      </c>
    </row>
    <row r="20" spans="1:16" ht="12.75" customHeight="1" thickBot="1" x14ac:dyDescent="0.25">
      <c r="A20" s="10" t="str">
        <f t="shared" si="0"/>
        <v> PZ 22.327 </v>
      </c>
      <c r="B20" s="3" t="str">
        <f t="shared" si="1"/>
        <v>II</v>
      </c>
      <c r="C20" s="10">
        <f t="shared" si="2"/>
        <v>45233.336000000003</v>
      </c>
      <c r="D20" s="12" t="str">
        <f t="shared" si="3"/>
        <v>vis</v>
      </c>
      <c r="E20" s="41">
        <f>VLOOKUP(C20,Active!C$21:E$973,3,FALSE)</f>
        <v>-27730.941235149068</v>
      </c>
      <c r="F20" s="3" t="s">
        <v>51</v>
      </c>
      <c r="G20" s="12" t="str">
        <f t="shared" si="4"/>
        <v>45233.336</v>
      </c>
      <c r="H20" s="10">
        <f t="shared" si="5"/>
        <v>-33367.5</v>
      </c>
      <c r="I20" s="42" t="s">
        <v>83</v>
      </c>
      <c r="J20" s="43" t="s">
        <v>84</v>
      </c>
      <c r="K20" s="42">
        <v>-33367.5</v>
      </c>
      <c r="L20" s="42" t="s">
        <v>85</v>
      </c>
      <c r="M20" s="43" t="s">
        <v>56</v>
      </c>
      <c r="N20" s="43"/>
      <c r="O20" s="44" t="s">
        <v>57</v>
      </c>
      <c r="P20" s="44" t="s">
        <v>58</v>
      </c>
    </row>
    <row r="21" spans="1:16" ht="12.75" customHeight="1" thickBot="1" x14ac:dyDescent="0.25">
      <c r="A21" s="10" t="str">
        <f t="shared" si="0"/>
        <v> PZ 22.327 </v>
      </c>
      <c r="B21" s="3" t="str">
        <f t="shared" si="1"/>
        <v>II</v>
      </c>
      <c r="C21" s="10">
        <f t="shared" si="2"/>
        <v>45234.372000000003</v>
      </c>
      <c r="D21" s="12" t="str">
        <f t="shared" si="3"/>
        <v>vis</v>
      </c>
      <c r="E21" s="41">
        <f>VLOOKUP(C21,Active!C$21:E$973,3,FALSE)</f>
        <v>-27726.987732311209</v>
      </c>
      <c r="F21" s="3" t="s">
        <v>51</v>
      </c>
      <c r="G21" s="12" t="str">
        <f t="shared" si="4"/>
        <v>45234.372</v>
      </c>
      <c r="H21" s="10">
        <f t="shared" si="5"/>
        <v>-33363.5</v>
      </c>
      <c r="I21" s="42" t="s">
        <v>86</v>
      </c>
      <c r="J21" s="43" t="s">
        <v>87</v>
      </c>
      <c r="K21" s="42">
        <v>-33363.5</v>
      </c>
      <c r="L21" s="42" t="s">
        <v>88</v>
      </c>
      <c r="M21" s="43" t="s">
        <v>56</v>
      </c>
      <c r="N21" s="43"/>
      <c r="O21" s="44" t="s">
        <v>57</v>
      </c>
      <c r="P21" s="44" t="s">
        <v>58</v>
      </c>
    </row>
    <row r="22" spans="1:16" ht="12.75" customHeight="1" thickBot="1" x14ac:dyDescent="0.25">
      <c r="A22" s="10" t="str">
        <f t="shared" si="0"/>
        <v> PZ 22.327 </v>
      </c>
      <c r="B22" s="3" t="str">
        <f t="shared" si="1"/>
        <v>II</v>
      </c>
      <c r="C22" s="10">
        <f t="shared" si="2"/>
        <v>45240.4</v>
      </c>
      <c r="D22" s="12" t="str">
        <f t="shared" si="3"/>
        <v>vis</v>
      </c>
      <c r="E22" s="41">
        <f>VLOOKUP(C22,Active!C$21:E$973,3,FALSE)</f>
        <v>-27703.984146300965</v>
      </c>
      <c r="F22" s="3" t="s">
        <v>51</v>
      </c>
      <c r="G22" s="12" t="str">
        <f t="shared" si="4"/>
        <v>45240.400</v>
      </c>
      <c r="H22" s="10">
        <f t="shared" si="5"/>
        <v>-33340.5</v>
      </c>
      <c r="I22" s="42" t="s">
        <v>89</v>
      </c>
      <c r="J22" s="43" t="s">
        <v>90</v>
      </c>
      <c r="K22" s="42">
        <v>-33340.5</v>
      </c>
      <c r="L22" s="42" t="s">
        <v>91</v>
      </c>
      <c r="M22" s="43" t="s">
        <v>56</v>
      </c>
      <c r="N22" s="43"/>
      <c r="O22" s="44" t="s">
        <v>57</v>
      </c>
      <c r="P22" s="44" t="s">
        <v>58</v>
      </c>
    </row>
    <row r="23" spans="1:16" ht="12.75" customHeight="1" thickBot="1" x14ac:dyDescent="0.25">
      <c r="A23" s="10" t="str">
        <f t="shared" si="0"/>
        <v> PZ 22.327 </v>
      </c>
      <c r="B23" s="3" t="str">
        <f t="shared" si="1"/>
        <v>I</v>
      </c>
      <c r="C23" s="10">
        <f t="shared" si="2"/>
        <v>45258.351999999999</v>
      </c>
      <c r="D23" s="12" t="str">
        <f t="shared" si="3"/>
        <v>vis</v>
      </c>
      <c r="E23" s="41">
        <f>VLOOKUP(C23,Active!C$21:E$973,3,FALSE)</f>
        <v>-27635.47711643104</v>
      </c>
      <c r="F23" s="3" t="s">
        <v>51</v>
      </c>
      <c r="G23" s="12" t="str">
        <f t="shared" si="4"/>
        <v>45258.352</v>
      </c>
      <c r="H23" s="10">
        <f t="shared" si="5"/>
        <v>-33272</v>
      </c>
      <c r="I23" s="42" t="s">
        <v>92</v>
      </c>
      <c r="J23" s="43" t="s">
        <v>93</v>
      </c>
      <c r="K23" s="42">
        <v>-33272</v>
      </c>
      <c r="L23" s="42" t="s">
        <v>94</v>
      </c>
      <c r="M23" s="43" t="s">
        <v>56</v>
      </c>
      <c r="N23" s="43"/>
      <c r="O23" s="44" t="s">
        <v>57</v>
      </c>
      <c r="P23" s="44" t="s">
        <v>58</v>
      </c>
    </row>
    <row r="24" spans="1:16" ht="12.75" customHeight="1" thickBot="1" x14ac:dyDescent="0.25">
      <c r="A24" s="10" t="str">
        <f t="shared" si="0"/>
        <v> BBS 128 </v>
      </c>
      <c r="B24" s="3" t="str">
        <f t="shared" si="1"/>
        <v>I</v>
      </c>
      <c r="C24" s="10">
        <f t="shared" si="2"/>
        <v>52503.398200000003</v>
      </c>
      <c r="D24" s="12" t="str">
        <f t="shared" si="3"/>
        <v>vis</v>
      </c>
      <c r="E24" s="41">
        <f>VLOOKUP(C24,Active!C$21:E$973,3,FALSE)</f>
        <v>12.506196428811901</v>
      </c>
      <c r="F24" s="3" t="s">
        <v>51</v>
      </c>
      <c r="G24" s="12" t="str">
        <f t="shared" si="4"/>
        <v>52503.3982</v>
      </c>
      <c r="H24" s="10">
        <f t="shared" si="5"/>
        <v>-4453</v>
      </c>
      <c r="I24" s="42" t="s">
        <v>95</v>
      </c>
      <c r="J24" s="43" t="s">
        <v>96</v>
      </c>
      <c r="K24" s="42">
        <v>-4453</v>
      </c>
      <c r="L24" s="42" t="s">
        <v>97</v>
      </c>
      <c r="M24" s="43" t="s">
        <v>98</v>
      </c>
      <c r="N24" s="43" t="s">
        <v>99</v>
      </c>
      <c r="O24" s="44" t="s">
        <v>100</v>
      </c>
      <c r="P24" s="44" t="s">
        <v>101</v>
      </c>
    </row>
    <row r="25" spans="1:16" ht="12.75" customHeight="1" thickBot="1" x14ac:dyDescent="0.25">
      <c r="A25" s="10" t="str">
        <f t="shared" si="0"/>
        <v> BBS 128 </v>
      </c>
      <c r="B25" s="3" t="str">
        <f t="shared" si="1"/>
        <v>II</v>
      </c>
      <c r="C25" s="10">
        <f t="shared" si="2"/>
        <v>52503.5239</v>
      </c>
      <c r="D25" s="12" t="str">
        <f t="shared" si="3"/>
        <v>vis</v>
      </c>
      <c r="E25" s="41">
        <f>VLOOKUP(C25,Active!C$21:E$973,3,FALSE)</f>
        <v>12.985883018296988</v>
      </c>
      <c r="F25" s="3" t="s">
        <v>51</v>
      </c>
      <c r="G25" s="12" t="str">
        <f t="shared" si="4"/>
        <v>52503.5239</v>
      </c>
      <c r="H25" s="10">
        <f t="shared" si="5"/>
        <v>-4452.5</v>
      </c>
      <c r="I25" s="42" t="s">
        <v>102</v>
      </c>
      <c r="J25" s="43" t="s">
        <v>103</v>
      </c>
      <c r="K25" s="42">
        <v>-4452.5</v>
      </c>
      <c r="L25" s="42" t="s">
        <v>104</v>
      </c>
      <c r="M25" s="43" t="s">
        <v>98</v>
      </c>
      <c r="N25" s="43" t="s">
        <v>99</v>
      </c>
      <c r="O25" s="44" t="s">
        <v>100</v>
      </c>
      <c r="P25" s="44" t="s">
        <v>101</v>
      </c>
    </row>
    <row r="26" spans="1:16" ht="12.75" customHeight="1" thickBot="1" x14ac:dyDescent="0.25">
      <c r="A26" s="10" t="str">
        <f t="shared" si="0"/>
        <v>IBVS 5713 </v>
      </c>
      <c r="B26" s="3" t="str">
        <f t="shared" si="1"/>
        <v>I</v>
      </c>
      <c r="C26" s="10">
        <f t="shared" si="2"/>
        <v>53670.303200000002</v>
      </c>
      <c r="D26" s="12" t="str">
        <f t="shared" si="3"/>
        <v>vis</v>
      </c>
      <c r="E26" s="41">
        <f>VLOOKUP(C26,Active!C$21:E$973,3,FALSE)</f>
        <v>4465.5585410353478</v>
      </c>
      <c r="F26" s="3" t="s">
        <v>51</v>
      </c>
      <c r="G26" s="12" t="str">
        <f t="shared" si="4"/>
        <v>53670.3032</v>
      </c>
      <c r="H26" s="10">
        <f t="shared" si="5"/>
        <v>0</v>
      </c>
      <c r="I26" s="42" t="s">
        <v>105</v>
      </c>
      <c r="J26" s="43" t="s">
        <v>106</v>
      </c>
      <c r="K26" s="42">
        <v>0</v>
      </c>
      <c r="L26" s="42" t="s">
        <v>107</v>
      </c>
      <c r="M26" s="43" t="s">
        <v>98</v>
      </c>
      <c r="N26" s="43" t="s">
        <v>99</v>
      </c>
      <c r="O26" s="44" t="s">
        <v>108</v>
      </c>
      <c r="P26" s="45" t="s">
        <v>109</v>
      </c>
    </row>
    <row r="27" spans="1:16" ht="12.75" customHeight="1" thickBot="1" x14ac:dyDescent="0.25">
      <c r="A27" s="10" t="str">
        <f t="shared" si="0"/>
        <v>IBVS 6011 </v>
      </c>
      <c r="B27" s="3" t="str">
        <f t="shared" si="1"/>
        <v>II</v>
      </c>
      <c r="C27" s="10">
        <f t="shared" si="2"/>
        <v>55854.625899999999</v>
      </c>
      <c r="D27" s="12" t="str">
        <f t="shared" si="3"/>
        <v>vis</v>
      </c>
      <c r="E27" s="41">
        <f>VLOOKUP(C27,Active!C$21:E$973,3,FALSE)</f>
        <v>12801.201391663528</v>
      </c>
      <c r="F27" s="3" t="s">
        <v>51</v>
      </c>
      <c r="G27" s="12" t="str">
        <f t="shared" si="4"/>
        <v>55854.6259</v>
      </c>
      <c r="H27" s="10">
        <f t="shared" si="5"/>
        <v>8335.5</v>
      </c>
      <c r="I27" s="42" t="s">
        <v>110</v>
      </c>
      <c r="J27" s="43" t="s">
        <v>111</v>
      </c>
      <c r="K27" s="42">
        <v>8335.5</v>
      </c>
      <c r="L27" s="42" t="s">
        <v>112</v>
      </c>
      <c r="M27" s="43" t="s">
        <v>113</v>
      </c>
      <c r="N27" s="43" t="s">
        <v>51</v>
      </c>
      <c r="O27" s="44" t="s">
        <v>114</v>
      </c>
      <c r="P27" s="45" t="s">
        <v>115</v>
      </c>
    </row>
    <row r="28" spans="1:16" ht="12.75" customHeight="1" thickBot="1" x14ac:dyDescent="0.25">
      <c r="A28" s="10" t="str">
        <f t="shared" si="0"/>
        <v>IBVS 6011 </v>
      </c>
      <c r="B28" s="3" t="str">
        <f t="shared" si="1"/>
        <v>I</v>
      </c>
      <c r="C28" s="10">
        <f t="shared" si="2"/>
        <v>55854.758199999997</v>
      </c>
      <c r="D28" s="12" t="str">
        <f t="shared" si="3"/>
        <v>vis</v>
      </c>
      <c r="E28" s="41">
        <f>VLOOKUP(C28,Active!C$21:E$973,3,FALSE)</f>
        <v>12801.706264661056</v>
      </c>
      <c r="F28" s="3" t="s">
        <v>51</v>
      </c>
      <c r="G28" s="12" t="str">
        <f t="shared" si="4"/>
        <v>55854.7582</v>
      </c>
      <c r="H28" s="10">
        <f t="shared" si="5"/>
        <v>8336</v>
      </c>
      <c r="I28" s="42" t="s">
        <v>116</v>
      </c>
      <c r="J28" s="43" t="s">
        <v>117</v>
      </c>
      <c r="K28" s="42">
        <v>8336</v>
      </c>
      <c r="L28" s="42" t="s">
        <v>118</v>
      </c>
      <c r="M28" s="43" t="s">
        <v>113</v>
      </c>
      <c r="N28" s="43" t="s">
        <v>51</v>
      </c>
      <c r="O28" s="44" t="s">
        <v>114</v>
      </c>
      <c r="P28" s="45" t="s">
        <v>115</v>
      </c>
    </row>
    <row r="29" spans="1:16" x14ac:dyDescent="0.2">
      <c r="B29" s="3"/>
      <c r="F29" s="3"/>
    </row>
    <row r="30" spans="1:16" x14ac:dyDescent="0.2">
      <c r="B30" s="3"/>
      <c r="F30" s="3"/>
    </row>
    <row r="31" spans="1:16" x14ac:dyDescent="0.2">
      <c r="B31" s="3"/>
      <c r="F31" s="3"/>
    </row>
    <row r="32" spans="1:16" x14ac:dyDescent="0.2">
      <c r="B32" s="3"/>
      <c r="F32" s="3"/>
    </row>
    <row r="33" spans="2:6" x14ac:dyDescent="0.2">
      <c r="B33" s="3"/>
      <c r="F33" s="3"/>
    </row>
    <row r="34" spans="2:6" x14ac:dyDescent="0.2">
      <c r="B34" s="3"/>
      <c r="F34" s="3"/>
    </row>
    <row r="35" spans="2:6" x14ac:dyDescent="0.2">
      <c r="B35" s="3"/>
      <c r="F35" s="3"/>
    </row>
    <row r="36" spans="2:6" x14ac:dyDescent="0.2">
      <c r="B36" s="3"/>
      <c r="F36" s="3"/>
    </row>
    <row r="37" spans="2:6" x14ac:dyDescent="0.2">
      <c r="B37" s="3"/>
      <c r="F37" s="3"/>
    </row>
    <row r="38" spans="2:6" x14ac:dyDescent="0.2">
      <c r="B38" s="3"/>
      <c r="F38" s="3"/>
    </row>
    <row r="39" spans="2:6" x14ac:dyDescent="0.2">
      <c r="B39" s="3"/>
      <c r="F39" s="3"/>
    </row>
    <row r="40" spans="2:6" x14ac:dyDescent="0.2">
      <c r="B40" s="3"/>
      <c r="F40" s="3"/>
    </row>
    <row r="41" spans="2:6" x14ac:dyDescent="0.2">
      <c r="B41" s="3"/>
      <c r="F41" s="3"/>
    </row>
    <row r="42" spans="2:6" x14ac:dyDescent="0.2">
      <c r="B42" s="3"/>
      <c r="F42" s="3"/>
    </row>
    <row r="43" spans="2:6" x14ac:dyDescent="0.2">
      <c r="B43" s="3"/>
      <c r="F43" s="3"/>
    </row>
    <row r="44" spans="2:6" x14ac:dyDescent="0.2">
      <c r="B44" s="3"/>
      <c r="F44" s="3"/>
    </row>
    <row r="45" spans="2:6" x14ac:dyDescent="0.2">
      <c r="B45" s="3"/>
      <c r="F45" s="3"/>
    </row>
    <row r="46" spans="2:6" x14ac:dyDescent="0.2">
      <c r="B46" s="3"/>
      <c r="F46" s="3"/>
    </row>
    <row r="47" spans="2:6" x14ac:dyDescent="0.2">
      <c r="B47" s="3"/>
      <c r="F47" s="3"/>
    </row>
    <row r="48" spans="2:6" x14ac:dyDescent="0.2">
      <c r="B48" s="3"/>
      <c r="F48" s="3"/>
    </row>
    <row r="49" spans="2:6" x14ac:dyDescent="0.2">
      <c r="B49" s="3"/>
      <c r="F49" s="3"/>
    </row>
    <row r="50" spans="2:6" x14ac:dyDescent="0.2">
      <c r="B50" s="3"/>
      <c r="F50" s="3"/>
    </row>
    <row r="51" spans="2:6" x14ac:dyDescent="0.2">
      <c r="B51" s="3"/>
      <c r="F51" s="3"/>
    </row>
    <row r="52" spans="2:6" x14ac:dyDescent="0.2">
      <c r="B52" s="3"/>
      <c r="F52" s="3"/>
    </row>
    <row r="53" spans="2:6" x14ac:dyDescent="0.2">
      <c r="B53" s="3"/>
      <c r="F53" s="3"/>
    </row>
    <row r="54" spans="2:6" x14ac:dyDescent="0.2">
      <c r="B54" s="3"/>
      <c r="F54" s="3"/>
    </row>
    <row r="55" spans="2:6" x14ac:dyDescent="0.2">
      <c r="B55" s="3"/>
      <c r="F55" s="3"/>
    </row>
    <row r="56" spans="2:6" x14ac:dyDescent="0.2">
      <c r="B56" s="3"/>
      <c r="F56" s="3"/>
    </row>
    <row r="57" spans="2:6" x14ac:dyDescent="0.2">
      <c r="B57" s="3"/>
      <c r="F57" s="3"/>
    </row>
    <row r="58" spans="2:6" x14ac:dyDescent="0.2">
      <c r="B58" s="3"/>
      <c r="F58" s="3"/>
    </row>
    <row r="59" spans="2:6" x14ac:dyDescent="0.2">
      <c r="B59" s="3"/>
      <c r="F59" s="3"/>
    </row>
    <row r="60" spans="2:6" x14ac:dyDescent="0.2">
      <c r="B60" s="3"/>
      <c r="F60" s="3"/>
    </row>
    <row r="61" spans="2:6" x14ac:dyDescent="0.2">
      <c r="B61" s="3"/>
      <c r="F61" s="3"/>
    </row>
    <row r="62" spans="2:6" x14ac:dyDescent="0.2">
      <c r="B62" s="3"/>
      <c r="F62" s="3"/>
    </row>
    <row r="63" spans="2:6" x14ac:dyDescent="0.2">
      <c r="B63" s="3"/>
      <c r="F63" s="3"/>
    </row>
    <row r="64" spans="2: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</sheetData>
  <phoneticPr fontId="8" type="noConversion"/>
  <hyperlinks>
    <hyperlink ref="A3" r:id="rId1"/>
    <hyperlink ref="P26" r:id="rId2" display="http://www.konkoly.hu/cgi-bin/IBVS?5713"/>
    <hyperlink ref="P27" r:id="rId3" display="http://www.konkoly.hu/cgi-bin/IBVS?6011"/>
    <hyperlink ref="P28" r:id="rId4" display="http://www.konkoly.hu/cgi-bin/IBVS?601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2024-01-11T05:52:11Z</dcterms:modified>
</cp:coreProperties>
</file>