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246E353-AF4D-4791-A682-8ECD5C64C00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D9" i="1" l="1"/>
  <c r="C9" i="1"/>
  <c r="Q94" i="1"/>
  <c r="D11" i="1"/>
  <c r="W10" i="1" s="1"/>
  <c r="D12" i="1"/>
  <c r="Q91" i="1"/>
  <c r="Q92" i="1"/>
  <c r="Q93" i="1"/>
  <c r="D13" i="1"/>
  <c r="W5" i="1"/>
  <c r="W7" i="1"/>
  <c r="W8" i="1"/>
  <c r="W9" i="1"/>
  <c r="W13" i="1"/>
  <c r="W15" i="1"/>
  <c r="W2" i="1"/>
  <c r="Q21" i="1"/>
  <c r="C45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1" i="1"/>
  <c r="Q62" i="1"/>
  <c r="Q63" i="1"/>
  <c r="Q66" i="1"/>
  <c r="Q67" i="1"/>
  <c r="Q68" i="1"/>
  <c r="Q69" i="1"/>
  <c r="Q70" i="1"/>
  <c r="Q71" i="1"/>
  <c r="Q72" i="1"/>
  <c r="Q73" i="1"/>
  <c r="Q75" i="1"/>
  <c r="Q76" i="1"/>
  <c r="Q77" i="1"/>
  <c r="Q78" i="1"/>
  <c r="Q79" i="1"/>
  <c r="Q80" i="1"/>
  <c r="Q87" i="1"/>
  <c r="G25" i="2"/>
  <c r="C25" i="2"/>
  <c r="G26" i="2"/>
  <c r="C26" i="2"/>
  <c r="G27" i="2"/>
  <c r="C27" i="2"/>
  <c r="G28" i="2"/>
  <c r="C28" i="2"/>
  <c r="G29" i="2"/>
  <c r="C29" i="2"/>
  <c r="G30" i="2"/>
  <c r="C30" i="2"/>
  <c r="G31" i="2"/>
  <c r="C31" i="2"/>
  <c r="G32" i="2"/>
  <c r="C32" i="2"/>
  <c r="G33" i="2"/>
  <c r="C33" i="2"/>
  <c r="G34" i="2"/>
  <c r="C34" i="2"/>
  <c r="G35" i="2"/>
  <c r="C35" i="2"/>
  <c r="G36" i="2"/>
  <c r="C36" i="2"/>
  <c r="G37" i="2"/>
  <c r="C37" i="2"/>
  <c r="G38" i="2"/>
  <c r="C38" i="2"/>
  <c r="G39" i="2"/>
  <c r="C39" i="2"/>
  <c r="G40" i="2"/>
  <c r="C40" i="2"/>
  <c r="G41" i="2"/>
  <c r="C41" i="2"/>
  <c r="G42" i="2"/>
  <c r="C42" i="2"/>
  <c r="G43" i="2"/>
  <c r="C43" i="2"/>
  <c r="G44" i="2"/>
  <c r="C44" i="2"/>
  <c r="G45" i="2"/>
  <c r="C45" i="2"/>
  <c r="G46" i="2"/>
  <c r="C46" i="2"/>
  <c r="G47" i="2"/>
  <c r="C47" i="2"/>
  <c r="G48" i="2"/>
  <c r="C48" i="2"/>
  <c r="G49" i="2"/>
  <c r="C49" i="2"/>
  <c r="G50" i="2"/>
  <c r="C50" i="2"/>
  <c r="G51" i="2"/>
  <c r="C51" i="2"/>
  <c r="G52" i="2"/>
  <c r="C52" i="2"/>
  <c r="G53" i="2"/>
  <c r="C53" i="2"/>
  <c r="G11" i="2"/>
  <c r="C11" i="2"/>
  <c r="E11" i="2"/>
  <c r="G54" i="2"/>
  <c r="C54" i="2"/>
  <c r="G55" i="2"/>
  <c r="C55" i="2"/>
  <c r="G56" i="2"/>
  <c r="C56" i="2"/>
  <c r="G57" i="2"/>
  <c r="C57" i="2"/>
  <c r="G58" i="2"/>
  <c r="C58" i="2"/>
  <c r="G59" i="2"/>
  <c r="C59" i="2"/>
  <c r="G60" i="2"/>
  <c r="C60" i="2"/>
  <c r="G61" i="2"/>
  <c r="C61" i="2"/>
  <c r="G12" i="2"/>
  <c r="C12" i="2"/>
  <c r="G62" i="2"/>
  <c r="C62" i="2"/>
  <c r="G63" i="2"/>
  <c r="C63" i="2"/>
  <c r="G64" i="2"/>
  <c r="C64" i="2"/>
  <c r="G13" i="2"/>
  <c r="C13" i="2"/>
  <c r="G14" i="2"/>
  <c r="C14" i="2"/>
  <c r="G65" i="2"/>
  <c r="C65" i="2"/>
  <c r="G66" i="2"/>
  <c r="C66" i="2"/>
  <c r="G67" i="2"/>
  <c r="C67" i="2"/>
  <c r="G68" i="2"/>
  <c r="C68" i="2"/>
  <c r="G69" i="2"/>
  <c r="C69" i="2"/>
  <c r="G70" i="2"/>
  <c r="C70" i="2"/>
  <c r="G71" i="2"/>
  <c r="C71" i="2"/>
  <c r="G72" i="2"/>
  <c r="C72" i="2"/>
  <c r="G15" i="2"/>
  <c r="C15" i="2"/>
  <c r="G73" i="2"/>
  <c r="C73" i="2"/>
  <c r="G74" i="2"/>
  <c r="C74" i="2"/>
  <c r="G75" i="2"/>
  <c r="C75" i="2"/>
  <c r="G76" i="2"/>
  <c r="C76" i="2"/>
  <c r="G77" i="2"/>
  <c r="C77" i="2"/>
  <c r="G78" i="2"/>
  <c r="C78" i="2"/>
  <c r="G16" i="2"/>
  <c r="C16" i="2"/>
  <c r="G17" i="2"/>
  <c r="C17" i="2"/>
  <c r="G18" i="2"/>
  <c r="C18" i="2"/>
  <c r="G19" i="2"/>
  <c r="C19" i="2"/>
  <c r="G20" i="2"/>
  <c r="C20" i="2"/>
  <c r="G21" i="2"/>
  <c r="C21" i="2"/>
  <c r="G79" i="2"/>
  <c r="C79" i="2"/>
  <c r="G22" i="2"/>
  <c r="C22" i="2"/>
  <c r="G23" i="2"/>
  <c r="C23" i="2"/>
  <c r="G24" i="2"/>
  <c r="C24" i="2"/>
  <c r="H23" i="2"/>
  <c r="F23" i="2"/>
  <c r="D23" i="2"/>
  <c r="B23" i="2"/>
  <c r="A23" i="2"/>
  <c r="H22" i="2"/>
  <c r="B22" i="2"/>
  <c r="F22" i="2"/>
  <c r="D22" i="2"/>
  <c r="A22" i="2"/>
  <c r="H79" i="2"/>
  <c r="D79" i="2"/>
  <c r="B79" i="2"/>
  <c r="A79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15" i="2"/>
  <c r="B15" i="2"/>
  <c r="D15" i="2"/>
  <c r="A15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14" i="2"/>
  <c r="D14" i="2"/>
  <c r="B14" i="2"/>
  <c r="A14" i="2"/>
  <c r="H13" i="2"/>
  <c r="B13" i="2"/>
  <c r="D13" i="2"/>
  <c r="A13" i="2"/>
  <c r="H64" i="2"/>
  <c r="D64" i="2"/>
  <c r="B64" i="2"/>
  <c r="A64" i="2"/>
  <c r="H63" i="2"/>
  <c r="B63" i="2"/>
  <c r="D63" i="2"/>
  <c r="A63" i="2"/>
  <c r="H62" i="2"/>
  <c r="D62" i="2"/>
  <c r="B62" i="2"/>
  <c r="A62" i="2"/>
  <c r="H12" i="2"/>
  <c r="B12" i="2"/>
  <c r="D12" i="2"/>
  <c r="A1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11" i="2"/>
  <c r="D11" i="2"/>
  <c r="B11" i="2"/>
  <c r="A11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Q86" i="1"/>
  <c r="Q82" i="1"/>
  <c r="Q83" i="1"/>
  <c r="Q90" i="1"/>
  <c r="Q88" i="1"/>
  <c r="Q89" i="1"/>
  <c r="F16" i="1"/>
  <c r="F17" i="1" s="1"/>
  <c r="C17" i="1"/>
  <c r="Q85" i="1"/>
  <c r="Q74" i="1"/>
  <c r="Q84" i="1"/>
  <c r="Q81" i="1"/>
  <c r="Q65" i="1"/>
  <c r="Q64" i="1"/>
  <c r="C7" i="1"/>
  <c r="E36" i="1"/>
  <c r="F36" i="1"/>
  <c r="P36" i="1"/>
  <c r="R36" i="1" s="1"/>
  <c r="T36" i="1" s="1"/>
  <c r="C8" i="1"/>
  <c r="Q60" i="1"/>
  <c r="Q45" i="1"/>
  <c r="E46" i="2"/>
  <c r="E75" i="2"/>
  <c r="E66" i="2"/>
  <c r="E58" i="2"/>
  <c r="E39" i="2"/>
  <c r="G85" i="1"/>
  <c r="J85" i="1"/>
  <c r="E49" i="1"/>
  <c r="F49" i="1"/>
  <c r="P49" i="1"/>
  <c r="E32" i="1"/>
  <c r="F32" i="1"/>
  <c r="P32" i="1"/>
  <c r="E85" i="1"/>
  <c r="F85" i="1"/>
  <c r="P85" i="1"/>
  <c r="R85" i="1" s="1"/>
  <c r="T85" i="1" s="1"/>
  <c r="E48" i="1"/>
  <c r="F48" i="1"/>
  <c r="P48" i="1"/>
  <c r="E31" i="1"/>
  <c r="F31" i="1"/>
  <c r="P31" i="1"/>
  <c r="R31" i="1" s="1"/>
  <c r="T31" i="1" s="1"/>
  <c r="E93" i="1"/>
  <c r="F93" i="1"/>
  <c r="P93" i="1"/>
  <c r="E81" i="1"/>
  <c r="F81" i="1"/>
  <c r="P81" i="1"/>
  <c r="E62" i="1"/>
  <c r="F62" i="1"/>
  <c r="P62" i="1"/>
  <c r="R62" i="1" s="1"/>
  <c r="T62" i="1" s="1"/>
  <c r="E44" i="1"/>
  <c r="F44" i="1"/>
  <c r="P44" i="1"/>
  <c r="E28" i="1"/>
  <c r="F28" i="1"/>
  <c r="P28" i="1"/>
  <c r="E76" i="1"/>
  <c r="F76" i="1"/>
  <c r="P76" i="1"/>
  <c r="E61" i="1"/>
  <c r="E43" i="1"/>
  <c r="F43" i="1"/>
  <c r="P43" i="1"/>
  <c r="E27" i="1"/>
  <c r="F27" i="1"/>
  <c r="P27" i="1"/>
  <c r="R27" i="1" s="1"/>
  <c r="T27" i="1" s="1"/>
  <c r="E65" i="2"/>
  <c r="E45" i="2"/>
  <c r="E27" i="2"/>
  <c r="E86" i="1"/>
  <c r="F86" i="1"/>
  <c r="P86" i="1"/>
  <c r="R86" i="1" s="1"/>
  <c r="T86" i="1" s="1"/>
  <c r="E73" i="1"/>
  <c r="F73" i="1"/>
  <c r="P73" i="1"/>
  <c r="E57" i="1"/>
  <c r="E40" i="1"/>
  <c r="F40" i="1"/>
  <c r="P40" i="1"/>
  <c r="E24" i="1"/>
  <c r="F24" i="1"/>
  <c r="P24" i="1"/>
  <c r="R24" i="1" s="1"/>
  <c r="T24" i="1" s="1"/>
  <c r="E36" i="2"/>
  <c r="G45" i="1"/>
  <c r="K45" i="1"/>
  <c r="E45" i="1"/>
  <c r="F45" i="1"/>
  <c r="P45" i="1"/>
  <c r="E56" i="1"/>
  <c r="F56" i="1"/>
  <c r="P56" i="1"/>
  <c r="E39" i="1"/>
  <c r="F39" i="1"/>
  <c r="P39" i="1"/>
  <c r="E23" i="1"/>
  <c r="E31" i="2"/>
  <c r="E60" i="1"/>
  <c r="F60" i="1"/>
  <c r="P60" i="1"/>
  <c r="E70" i="1"/>
  <c r="F70" i="1"/>
  <c r="P70" i="1"/>
  <c r="R70" i="1" s="1"/>
  <c r="T70" i="1" s="1"/>
  <c r="E53" i="1"/>
  <c r="E94" i="1"/>
  <c r="F94" i="1"/>
  <c r="E91" i="1"/>
  <c r="F91" i="1"/>
  <c r="P91" i="1"/>
  <c r="E21" i="1"/>
  <c r="F21" i="1"/>
  <c r="P21" i="1"/>
  <c r="G28" i="1"/>
  <c r="I28" i="1"/>
  <c r="G32" i="1"/>
  <c r="I32" i="1"/>
  <c r="G36" i="1"/>
  <c r="I36" i="1"/>
  <c r="G49" i="1"/>
  <c r="I49" i="1"/>
  <c r="G62" i="1"/>
  <c r="I62" i="1"/>
  <c r="G67" i="1"/>
  <c r="I67" i="1"/>
  <c r="E77" i="1"/>
  <c r="F77" i="1"/>
  <c r="P77" i="1"/>
  <c r="E89" i="1"/>
  <c r="F89" i="1"/>
  <c r="P89" i="1"/>
  <c r="R89" i="1" s="1"/>
  <c r="T89" i="1" s="1"/>
  <c r="G91" i="1"/>
  <c r="K91" i="1"/>
  <c r="E25" i="1"/>
  <c r="F25" i="1"/>
  <c r="P25" i="1"/>
  <c r="R25" i="1" s="1"/>
  <c r="T25" i="1" s="1"/>
  <c r="E29" i="1"/>
  <c r="E33" i="1"/>
  <c r="F33" i="1"/>
  <c r="P33" i="1"/>
  <c r="R33" i="1" s="1"/>
  <c r="T33" i="1" s="1"/>
  <c r="E37" i="1"/>
  <c r="E41" i="1"/>
  <c r="E46" i="1"/>
  <c r="E50" i="1"/>
  <c r="E54" i="1"/>
  <c r="F54" i="1"/>
  <c r="P54" i="1"/>
  <c r="R54" i="1" s="1"/>
  <c r="T54" i="1" s="1"/>
  <c r="E58" i="1"/>
  <c r="F58" i="1"/>
  <c r="P58" i="1"/>
  <c r="E63" i="1"/>
  <c r="F63" i="1"/>
  <c r="P63" i="1"/>
  <c r="E68" i="1"/>
  <c r="G73" i="1"/>
  <c r="I73" i="1"/>
  <c r="E80" i="1"/>
  <c r="F80" i="1"/>
  <c r="P80" i="1"/>
  <c r="E65" i="1"/>
  <c r="G81" i="1"/>
  <c r="K81" i="1"/>
  <c r="E83" i="1"/>
  <c r="G94" i="1"/>
  <c r="K94" i="1"/>
  <c r="G33" i="1"/>
  <c r="I33" i="1"/>
  <c r="G54" i="1"/>
  <c r="I54" i="1"/>
  <c r="E71" i="1"/>
  <c r="F71" i="1"/>
  <c r="P71" i="1"/>
  <c r="R71" i="1" s="1"/>
  <c r="T71" i="1" s="1"/>
  <c r="E75" i="1"/>
  <c r="G77" i="1"/>
  <c r="K77" i="1"/>
  <c r="E64" i="1"/>
  <c r="F64" i="1"/>
  <c r="P64" i="1"/>
  <c r="E84" i="1"/>
  <c r="F84" i="1"/>
  <c r="P84" i="1"/>
  <c r="E92" i="1"/>
  <c r="F92" i="1"/>
  <c r="P92" i="1"/>
  <c r="R92" i="1" s="1"/>
  <c r="T92" i="1" s="1"/>
  <c r="E22" i="1"/>
  <c r="F22" i="1"/>
  <c r="P22" i="1"/>
  <c r="E26" i="1"/>
  <c r="F26" i="1"/>
  <c r="P26" i="1"/>
  <c r="E30" i="1"/>
  <c r="F30" i="1"/>
  <c r="P30" i="1"/>
  <c r="E34" i="1"/>
  <c r="F34" i="1"/>
  <c r="P34" i="1"/>
  <c r="E38" i="1"/>
  <c r="F38" i="1"/>
  <c r="P38" i="1"/>
  <c r="E42" i="1"/>
  <c r="F42" i="1"/>
  <c r="P42" i="1"/>
  <c r="E47" i="1"/>
  <c r="F47" i="1"/>
  <c r="P47" i="1"/>
  <c r="E51" i="1"/>
  <c r="F51" i="1"/>
  <c r="P51" i="1"/>
  <c r="R51" i="1" s="1"/>
  <c r="T51" i="1" s="1"/>
  <c r="E55" i="1"/>
  <c r="F55" i="1"/>
  <c r="P55" i="1"/>
  <c r="R55" i="1" s="1"/>
  <c r="T55" i="1" s="1"/>
  <c r="E59" i="1"/>
  <c r="F59" i="1"/>
  <c r="P59" i="1"/>
  <c r="E66" i="1"/>
  <c r="F66" i="1"/>
  <c r="P66" i="1"/>
  <c r="E78" i="1"/>
  <c r="F78" i="1"/>
  <c r="P78" i="1"/>
  <c r="R78" i="1" s="1"/>
  <c r="T78" i="1" s="1"/>
  <c r="G80" i="1"/>
  <c r="K80" i="1"/>
  <c r="E90" i="1"/>
  <c r="F90" i="1"/>
  <c r="P90" i="1"/>
  <c r="G92" i="1"/>
  <c r="K92" i="1"/>
  <c r="G22" i="1"/>
  <c r="I22" i="1"/>
  <c r="G26" i="1"/>
  <c r="I26" i="1"/>
  <c r="G38" i="1"/>
  <c r="I38" i="1"/>
  <c r="G42" i="1"/>
  <c r="I42" i="1"/>
  <c r="G51" i="1"/>
  <c r="I51" i="1"/>
  <c r="G55" i="1"/>
  <c r="I55" i="1"/>
  <c r="G59" i="1"/>
  <c r="I59" i="1"/>
  <c r="E69" i="1"/>
  <c r="E72" i="1"/>
  <c r="F72" i="1"/>
  <c r="P72" i="1"/>
  <c r="E87" i="1"/>
  <c r="F87" i="1"/>
  <c r="P87" i="1"/>
  <c r="R87" i="1" s="1"/>
  <c r="T87" i="1" s="1"/>
  <c r="E74" i="1"/>
  <c r="F74" i="1"/>
  <c r="P74" i="1"/>
  <c r="R74" i="1" s="1"/>
  <c r="T74" i="1" s="1"/>
  <c r="G84" i="1"/>
  <c r="K84" i="1"/>
  <c r="E88" i="1"/>
  <c r="F88" i="1"/>
  <c r="P88" i="1"/>
  <c r="R88" i="1" s="1"/>
  <c r="T88" i="1" s="1"/>
  <c r="G93" i="1"/>
  <c r="K93" i="1"/>
  <c r="G39" i="1"/>
  <c r="I39" i="1"/>
  <c r="G43" i="1"/>
  <c r="I43" i="1"/>
  <c r="G56" i="1"/>
  <c r="I56" i="1"/>
  <c r="E67" i="1"/>
  <c r="F67" i="1"/>
  <c r="P67" i="1"/>
  <c r="G72" i="1"/>
  <c r="I72" i="1"/>
  <c r="E79" i="1"/>
  <c r="F79" i="1"/>
  <c r="P79" i="1"/>
  <c r="R79" i="1" s="1"/>
  <c r="T79" i="1" s="1"/>
  <c r="E82" i="1"/>
  <c r="F82" i="1"/>
  <c r="P82" i="1"/>
  <c r="R82" i="1" s="1"/>
  <c r="T82" i="1" s="1"/>
  <c r="G88" i="1"/>
  <c r="K88" i="1"/>
  <c r="E35" i="2"/>
  <c r="E52" i="1"/>
  <c r="F52" i="1"/>
  <c r="P52" i="1"/>
  <c r="E35" i="1"/>
  <c r="F35" i="1"/>
  <c r="P35" i="1"/>
  <c r="R35" i="1" s="1"/>
  <c r="T35" i="1" s="1"/>
  <c r="P94" i="1"/>
  <c r="R94" i="1"/>
  <c r="T94" i="1" s="1"/>
  <c r="E32" i="2"/>
  <c r="F29" i="1"/>
  <c r="R58" i="1"/>
  <c r="T58" i="1"/>
  <c r="R67" i="1"/>
  <c r="T67" i="1" s="1"/>
  <c r="G31" i="1"/>
  <c r="I31" i="1"/>
  <c r="R72" i="1"/>
  <c r="T72" i="1" s="1"/>
  <c r="G87" i="1"/>
  <c r="K87" i="1"/>
  <c r="G48" i="1"/>
  <c r="I48" i="1"/>
  <c r="G71" i="1"/>
  <c r="I71" i="1"/>
  <c r="R38" i="1"/>
  <c r="T38" i="1"/>
  <c r="R84" i="1"/>
  <c r="T84" i="1" s="1"/>
  <c r="G86" i="1"/>
  <c r="K86" i="1"/>
  <c r="F68" i="1"/>
  <c r="E67" i="2"/>
  <c r="R77" i="1"/>
  <c r="T77" i="1" s="1"/>
  <c r="F53" i="1"/>
  <c r="E55" i="2"/>
  <c r="R73" i="1"/>
  <c r="T73" i="1" s="1"/>
  <c r="E60" i="2"/>
  <c r="R28" i="1"/>
  <c r="T28" i="1"/>
  <c r="R93" i="1"/>
  <c r="T93" i="1"/>
  <c r="R49" i="1"/>
  <c r="T49" i="1"/>
  <c r="E54" i="2"/>
  <c r="E23" i="2"/>
  <c r="E16" i="2"/>
  <c r="E21" i="2"/>
  <c r="R48" i="1"/>
  <c r="T48" i="1"/>
  <c r="E25" i="2"/>
  <c r="E12" i="2"/>
  <c r="E15" i="2"/>
  <c r="E79" i="2"/>
  <c r="G90" i="1"/>
  <c r="K90" i="1"/>
  <c r="G35" i="1"/>
  <c r="I35" i="1"/>
  <c r="G64" i="1"/>
  <c r="K64" i="1"/>
  <c r="G47" i="1"/>
  <c r="I47" i="1"/>
  <c r="R59" i="1"/>
  <c r="T59" i="1"/>
  <c r="R26" i="1"/>
  <c r="T26" i="1"/>
  <c r="F75" i="1"/>
  <c r="E73" i="2"/>
  <c r="F65" i="1"/>
  <c r="E14" i="2"/>
  <c r="G21" i="1"/>
  <c r="I21" i="1"/>
  <c r="G24" i="1"/>
  <c r="I24" i="1"/>
  <c r="E41" i="2"/>
  <c r="R43" i="1"/>
  <c r="T43" i="1" s="1"/>
  <c r="G76" i="1"/>
  <c r="K76" i="1"/>
  <c r="G66" i="1"/>
  <c r="I66" i="1"/>
  <c r="E30" i="2"/>
  <c r="E13" i="2"/>
  <c r="E76" i="2"/>
  <c r="E34" i="2"/>
  <c r="E61" i="2"/>
  <c r="F61" i="1"/>
  <c r="E62" i="2"/>
  <c r="R81" i="1"/>
  <c r="T81" i="1"/>
  <c r="G78" i="1"/>
  <c r="K78" i="1"/>
  <c r="E42" i="2"/>
  <c r="E19" i="2"/>
  <c r="E50" i="2"/>
  <c r="E69" i="2"/>
  <c r="F83" i="1"/>
  <c r="E18" i="2"/>
  <c r="R60" i="1"/>
  <c r="T60" i="1"/>
  <c r="E63" i="2"/>
  <c r="G27" i="1"/>
  <c r="I27" i="1"/>
  <c r="G63" i="1"/>
  <c r="I63" i="1"/>
  <c r="R80" i="1"/>
  <c r="T80" i="1"/>
  <c r="F46" i="1"/>
  <c r="E48" i="2"/>
  <c r="G82" i="1"/>
  <c r="I82" i="1"/>
  <c r="R39" i="1"/>
  <c r="T39" i="1" s="1"/>
  <c r="E49" i="2"/>
  <c r="R76" i="1"/>
  <c r="T76" i="1"/>
  <c r="E33" i="2"/>
  <c r="E43" i="2"/>
  <c r="E57" i="2"/>
  <c r="E24" i="2"/>
  <c r="E64" i="2"/>
  <c r="E74" i="2"/>
  <c r="R22" i="1"/>
  <c r="T22" i="1"/>
  <c r="G60" i="1"/>
  <c r="I60" i="1"/>
  <c r="G25" i="1"/>
  <c r="I25" i="1"/>
  <c r="R91" i="1"/>
  <c r="T91" i="1"/>
  <c r="R56" i="1"/>
  <c r="T56" i="1"/>
  <c r="R40" i="1"/>
  <c r="T40" i="1"/>
  <c r="E53" i="2"/>
  <c r="E28" i="2"/>
  <c r="E38" i="2"/>
  <c r="E29" i="2"/>
  <c r="E47" i="2"/>
  <c r="E71" i="2"/>
  <c r="E22" i="2"/>
  <c r="E78" i="2"/>
  <c r="E17" i="2"/>
  <c r="R66" i="1"/>
  <c r="T66" i="1" s="1"/>
  <c r="F50" i="1"/>
  <c r="E52" i="2"/>
  <c r="F23" i="1"/>
  <c r="D15" i="1"/>
  <c r="C19" i="1" s="1"/>
  <c r="E26" i="2"/>
  <c r="G34" i="1"/>
  <c r="I34" i="1"/>
  <c r="G58" i="1"/>
  <c r="I58" i="1"/>
  <c r="F41" i="1"/>
  <c r="E44" i="2"/>
  <c r="G44" i="1"/>
  <c r="I44" i="1"/>
  <c r="G74" i="1"/>
  <c r="K74" i="1"/>
  <c r="G52" i="1"/>
  <c r="I52" i="1"/>
  <c r="F69" i="1"/>
  <c r="E68" i="2"/>
  <c r="G30" i="1"/>
  <c r="I30" i="1"/>
  <c r="R42" i="1"/>
  <c r="T42" i="1" s="1"/>
  <c r="G89" i="1"/>
  <c r="K89" i="1"/>
  <c r="G70" i="1"/>
  <c r="I70" i="1"/>
  <c r="E40" i="2"/>
  <c r="F37" i="1"/>
  <c r="G79" i="1"/>
  <c r="K79" i="1"/>
  <c r="G40" i="1"/>
  <c r="I40" i="1"/>
  <c r="R45" i="1"/>
  <c r="T45" i="1" s="1"/>
  <c r="F57" i="1"/>
  <c r="E59" i="2"/>
  <c r="E56" i="2"/>
  <c r="E37" i="2"/>
  <c r="R32" i="1"/>
  <c r="T32" i="1" s="1"/>
  <c r="E51" i="2"/>
  <c r="E72" i="2"/>
  <c r="E77" i="2"/>
  <c r="E20" i="2"/>
  <c r="E70" i="2"/>
  <c r="P46" i="1"/>
  <c r="R46" i="1" s="1"/>
  <c r="T46" i="1" s="1"/>
  <c r="G46" i="1"/>
  <c r="I46" i="1"/>
  <c r="P53" i="1"/>
  <c r="G53" i="1"/>
  <c r="I53" i="1"/>
  <c r="P41" i="1"/>
  <c r="G41" i="1"/>
  <c r="I41" i="1"/>
  <c r="P50" i="1"/>
  <c r="R50" i="1" s="1"/>
  <c r="T50" i="1" s="1"/>
  <c r="G50" i="1"/>
  <c r="I50" i="1"/>
  <c r="R30" i="1"/>
  <c r="T30" i="1" s="1"/>
  <c r="P57" i="1"/>
  <c r="G57" i="1"/>
  <c r="I57" i="1"/>
  <c r="P83" i="1"/>
  <c r="R83" i="1" s="1"/>
  <c r="T83" i="1" s="1"/>
  <c r="G83" i="1"/>
  <c r="I83" i="1"/>
  <c r="P65" i="1"/>
  <c r="R65" i="1"/>
  <c r="T65" i="1" s="1"/>
  <c r="G65" i="1"/>
  <c r="R52" i="1"/>
  <c r="T52" i="1"/>
  <c r="R44" i="1"/>
  <c r="T44" i="1" s="1"/>
  <c r="P37" i="1"/>
  <c r="G37" i="1"/>
  <c r="I37" i="1"/>
  <c r="P69" i="1"/>
  <c r="R69" i="1" s="1"/>
  <c r="T69" i="1" s="1"/>
  <c r="G69" i="1"/>
  <c r="I69" i="1"/>
  <c r="R47" i="1"/>
  <c r="T47" i="1" s="1"/>
  <c r="P61" i="1"/>
  <c r="R61" i="1"/>
  <c r="T61" i="1"/>
  <c r="G61" i="1"/>
  <c r="I61" i="1"/>
  <c r="P68" i="1"/>
  <c r="G68" i="1"/>
  <c r="I68" i="1"/>
  <c r="P29" i="1"/>
  <c r="G29" i="1"/>
  <c r="I29" i="1"/>
  <c r="P23" i="1"/>
  <c r="R23" i="1" s="1"/>
  <c r="T23" i="1" s="1"/>
  <c r="G23" i="1"/>
  <c r="I23" i="1"/>
  <c r="P75" i="1"/>
  <c r="R75" i="1"/>
  <c r="T75" i="1"/>
  <c r="G75" i="1"/>
  <c r="K75" i="1"/>
  <c r="R63" i="1"/>
  <c r="T63" i="1" s="1"/>
  <c r="R21" i="1"/>
  <c r="T21" i="1" s="1"/>
  <c r="R34" i="1"/>
  <c r="T34" i="1" s="1"/>
  <c r="D16" i="1"/>
  <c r="D19" i="1" s="1"/>
  <c r="R90" i="1"/>
  <c r="T90" i="1"/>
  <c r="R64" i="1"/>
  <c r="T64" i="1" s="1"/>
  <c r="K65" i="1"/>
  <c r="R41" i="1"/>
  <c r="T41" i="1"/>
  <c r="R68" i="1"/>
  <c r="T68" i="1" s="1"/>
  <c r="R37" i="1"/>
  <c r="T37" i="1" s="1"/>
  <c r="R57" i="1"/>
  <c r="T57" i="1" s="1"/>
  <c r="R53" i="1"/>
  <c r="T53" i="1"/>
  <c r="R29" i="1"/>
  <c r="T29" i="1" s="1"/>
  <c r="C12" i="1"/>
  <c r="C11" i="1"/>
  <c r="O59" i="1" l="1"/>
  <c r="O73" i="1"/>
  <c r="O77" i="1"/>
  <c r="O22" i="1"/>
  <c r="O36" i="1"/>
  <c r="O58" i="1"/>
  <c r="O67" i="1"/>
  <c r="O33" i="1"/>
  <c r="O64" i="1"/>
  <c r="O57" i="1"/>
  <c r="O84" i="1"/>
  <c r="O70" i="1"/>
  <c r="O21" i="1"/>
  <c r="O27" i="1"/>
  <c r="O30" i="1"/>
  <c r="O44" i="1"/>
  <c r="O78" i="1"/>
  <c r="O90" i="1"/>
  <c r="O50" i="1"/>
  <c r="O45" i="1"/>
  <c r="O43" i="1"/>
  <c r="O65" i="1"/>
  <c r="O81" i="1"/>
  <c r="O75" i="1"/>
  <c r="O48" i="1"/>
  <c r="O79" i="1"/>
  <c r="O24" i="1"/>
  <c r="O35" i="1"/>
  <c r="O38" i="1"/>
  <c r="O53" i="1"/>
  <c r="O89" i="1"/>
  <c r="O74" i="1"/>
  <c r="O69" i="1"/>
  <c r="O93" i="1"/>
  <c r="O34" i="1"/>
  <c r="O61" i="1"/>
  <c r="O82" i="1"/>
  <c r="O31" i="1"/>
  <c r="O80" i="1"/>
  <c r="O88" i="1"/>
  <c r="O94" i="1"/>
  <c r="O29" i="1"/>
  <c r="O32" i="1"/>
  <c r="O47" i="1"/>
  <c r="O62" i="1"/>
  <c r="O85" i="1"/>
  <c r="O23" i="1"/>
  <c r="O91" i="1"/>
  <c r="O46" i="1"/>
  <c r="O66" i="1"/>
  <c r="O56" i="1"/>
  <c r="O71" i="1"/>
  <c r="O76" i="1"/>
  <c r="O28" i="1"/>
  <c r="O26" i="1"/>
  <c r="O37" i="1"/>
  <c r="O40" i="1"/>
  <c r="O52" i="1"/>
  <c r="O55" i="1"/>
  <c r="O72" i="1"/>
  <c r="O86" i="1"/>
  <c r="O60" i="1"/>
  <c r="O39" i="1"/>
  <c r="O83" i="1"/>
  <c r="O49" i="1"/>
  <c r="C15" i="1"/>
  <c r="O54" i="1"/>
  <c r="O25" i="1"/>
  <c r="O51" i="1"/>
  <c r="O68" i="1"/>
  <c r="O92" i="1"/>
  <c r="O87" i="1"/>
  <c r="O42" i="1"/>
  <c r="O63" i="1"/>
  <c r="O41" i="1"/>
  <c r="C16" i="1"/>
  <c r="D18" i="1" s="1"/>
  <c r="E14" i="1"/>
  <c r="W14" i="1"/>
  <c r="W6" i="1"/>
  <c r="W12" i="1"/>
  <c r="W4" i="1"/>
  <c r="W11" i="1"/>
  <c r="W3" i="1"/>
  <c r="C18" i="1" l="1"/>
  <c r="F18" i="1"/>
  <c r="F19" i="1" s="1"/>
</calcChain>
</file>

<file path=xl/sharedStrings.xml><?xml version="1.0" encoding="utf-8"?>
<sst xmlns="http://schemas.openxmlformats.org/spreadsheetml/2006/main" count="763" uniqueCount="312">
  <si>
    <t>JAVSO..44…69</t>
  </si>
  <si>
    <t>JAVSO..45..121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</si>
  <si>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</si>
  <si>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</si>
  <si>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</si>
  <si>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</si>
  <si>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</si>
  <si>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</si>
  <si>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</si>
  <si>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</si>
  <si>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</si>
  <si>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</si>
  <si>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</si>
  <si>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</si>
  <si>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</si>
  <si>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</si>
  <si>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</si>
  <si>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</si>
  <si>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</si>
  <si>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</si>
  <si>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</si>
  <si>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</si>
  <si>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</si>
  <si>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</si>
  <si>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</si>
  <si>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Bull.81</t>
  </si>
  <si>
    <t>B</t>
  </si>
  <si>
    <t>IBVS 5263</t>
  </si>
  <si>
    <t>IBVS 4888</t>
  </si>
  <si>
    <t>IBVS 5543</t>
  </si>
  <si>
    <t>II</t>
  </si>
  <si>
    <t># of data points:</t>
  </si>
  <si>
    <t>EW/KW</t>
  </si>
  <si>
    <t>IBVS 5438</t>
  </si>
  <si>
    <t>GK Aqr / gsc 5225-1124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</si>
  <si>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</si>
  <si>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</si>
  <si>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</si>
  <si>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</si>
  <si>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</si>
  <si>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</si>
  <si>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I</t>
  </si>
  <si>
    <t>IBVS 5802</t>
  </si>
  <si>
    <t>Start of linear fit &gt;&gt;&gt;&gt;&gt;&gt;&gt;&gt;&gt;&gt;&gt;&gt;&gt;&gt;&gt;&gt;&gt;&gt;&gt;&gt;&gt;</t>
  </si>
  <si>
    <t>Add cycle</t>
  </si>
  <si>
    <t>Old Cycle</t>
  </si>
  <si>
    <t>IBVS 5960</t>
  </si>
  <si>
    <t>OEJV 0137</t>
  </si>
  <si>
    <t>OEJV 0003</t>
  </si>
  <si>
    <t>IBVS 6011</t>
  </si>
  <si>
    <t>OEJV 0155</t>
  </si>
  <si>
    <t>0,0100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</si>
  <si>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</si>
  <si>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</si>
  <si>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</si>
  <si>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</si>
  <si>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</si>
  <si>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</si>
  <si>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</si>
  <si>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</si>
  <si>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</si>
  <si>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</si>
  <si>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</si>
  <si>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2439362.486 </t>
  </si>
  <si>
    <t> 24.08.1966 23:39 </t>
  </si>
  <si>
    <t> 0.174 </t>
  </si>
  <si>
    <t>P </t>
  </si>
  <si>
    <t> N.E.Kurochkin </t>
  </si>
  <si>
    <t> PZ 22.340 </t>
  </si>
  <si>
    <t>2439379.372 </t>
  </si>
  <si>
    <t> 10.09.1966 20:55 </t>
  </si>
  <si>
    <t> 0.198 </t>
  </si>
  <si>
    <t>2439386.415 </t>
  </si>
  <si>
    <t> 17.09.1966 21:57 </t>
  </si>
  <si>
    <t> 0.202 </t>
  </si>
  <si>
    <t>2439417.373 </t>
  </si>
  <si>
    <t> 18.10.1966 20:57 </t>
  </si>
  <si>
    <t> 0.219 </t>
  </si>
  <si>
    <t>2439762.278 </t>
  </si>
  <si>
    <t> 28.09.1967 18:40 </t>
  </si>
  <si>
    <t> 0.189 </t>
  </si>
  <si>
    <t>2439764.237 </t>
  </si>
  <si>
    <t> 30.09.1967 17:41 </t>
  </si>
  <si>
    <t> 0.184 </t>
  </si>
  <si>
    <t>2439766.345 </t>
  </si>
  <si>
    <t> 02.10.1967 20:16 </t>
  </si>
  <si>
    <t> 0.164 </t>
  </si>
  <si>
    <t>2441211.362 </t>
  </si>
  <si>
    <t> 16.09.1971 20:41 </t>
  </si>
  <si>
    <t> 0.123 </t>
  </si>
  <si>
    <t>2442305.416 </t>
  </si>
  <si>
    <t> 14.09.1974 21:59 </t>
  </si>
  <si>
    <t> 0.111 </t>
  </si>
  <si>
    <t>2442309.353 </t>
  </si>
  <si>
    <t> 18.09.1974 20:28 </t>
  </si>
  <si>
    <t> 0.119 </t>
  </si>
  <si>
    <t>2442331.303 </t>
  </si>
  <si>
    <t> 10.10.1974 19:16 </t>
  </si>
  <si>
    <t> 0.132 </t>
  </si>
  <si>
    <t>2442335.211 </t>
  </si>
  <si>
    <t> 14.10.1974 17:03 </t>
  </si>
  <si>
    <t>2442341.292 </t>
  </si>
  <si>
    <t> 20.10.1974 19:00 </t>
  </si>
  <si>
    <t> 0.135 </t>
  </si>
  <si>
    <t>2442364.222 </t>
  </si>
  <si>
    <t> 12.11.1974 17:19 </t>
  </si>
  <si>
    <t> 0.146 </t>
  </si>
  <si>
    <t>2442665.385 </t>
  </si>
  <si>
    <t> 09.09.1975 21:14 </t>
  </si>
  <si>
    <t> 0.084 </t>
  </si>
  <si>
    <t>2442667.405 </t>
  </si>
  <si>
    <t> 11.09.1975 21:43 </t>
  </si>
  <si>
    <t> 0.140 </t>
  </si>
  <si>
    <t>2443396.368 </t>
  </si>
  <si>
    <t> 09.09.1977 20:49 </t>
  </si>
  <si>
    <t> 0.108 </t>
  </si>
  <si>
    <t>2443748.471 </t>
  </si>
  <si>
    <t> 27.08.1978 23:18 </t>
  </si>
  <si>
    <t> 0.073 </t>
  </si>
  <si>
    <t>2443865.195 </t>
  </si>
  <si>
    <t> 22.12.1978 16:40 </t>
  </si>
  <si>
    <t>2444087.512 </t>
  </si>
  <si>
    <t> 02.08.1979 00:17 </t>
  </si>
  <si>
    <t>2444139.402 </t>
  </si>
  <si>
    <t> 22.09.1979 21:38 </t>
  </si>
  <si>
    <t> 0.067 </t>
  </si>
  <si>
    <t>2444140.383 </t>
  </si>
  <si>
    <t> 23.09.1979 21:11 </t>
  </si>
  <si>
    <t> 0.066 </t>
  </si>
  <si>
    <t>2444141.382 </t>
  </si>
  <si>
    <t> 24.09.1979 21:10 </t>
  </si>
  <si>
    <t> 0.083 </t>
  </si>
  <si>
    <t>2444487.457 </t>
  </si>
  <si>
    <t> 04.09.1980 22:58 </t>
  </si>
  <si>
    <t> 0.077 </t>
  </si>
  <si>
    <t>2444489.399 </t>
  </si>
  <si>
    <t> 06.09.1980 21:34 </t>
  </si>
  <si>
    <t> 0.055 </t>
  </si>
  <si>
    <t>2444490.400 </t>
  </si>
  <si>
    <t> 07.09.1980 21:36 </t>
  </si>
  <si>
    <t> 0.074 </t>
  </si>
  <si>
    <t>2444904.245 </t>
  </si>
  <si>
    <t> 26.10.1981 17:52 </t>
  </si>
  <si>
    <t> 0.063 </t>
  </si>
  <si>
    <t>2445226.416 </t>
  </si>
  <si>
    <t> 13.09.1982 21:59 </t>
  </si>
  <si>
    <t>2445230.353 </t>
  </si>
  <si>
    <t> 17.09.1982 20:28 </t>
  </si>
  <si>
    <t>2445231.340 </t>
  </si>
  <si>
    <t> 18.09.1982 20:09 </t>
  </si>
  <si>
    <t> 0.068 </t>
  </si>
  <si>
    <t>2445233.292 </t>
  </si>
  <si>
    <t> 20.09.1982 19:00 </t>
  </si>
  <si>
    <t>2445237.373 </t>
  </si>
  <si>
    <t> 24.09.1982 20:57 </t>
  </si>
  <si>
    <t> 0.043 </t>
  </si>
  <si>
    <t>2445258.352 </t>
  </si>
  <si>
    <t> 15.10.1982 20:26 </t>
  </si>
  <si>
    <t>2445266.365 </t>
  </si>
  <si>
    <t> 23.10.1982 20:45 </t>
  </si>
  <si>
    <t> 0.059 </t>
  </si>
  <si>
    <t>2445586.362 </t>
  </si>
  <si>
    <t> 08.09.1983 20:41 </t>
  </si>
  <si>
    <t> 0.005 </t>
  </si>
  <si>
    <t>2445587.372 </t>
  </si>
  <si>
    <t> 09.09.1983 20:55 </t>
  </si>
  <si>
    <t> 0.033 </t>
  </si>
  <si>
    <t>2445589.373 </t>
  </si>
  <si>
    <t> 11.09.1983 20:57 </t>
  </si>
  <si>
    <t> 0.070 </t>
  </si>
  <si>
    <t>2445594.463 </t>
  </si>
  <si>
    <t> 16.09.1983 23:06 </t>
  </si>
  <si>
    <t> 0.085 </t>
  </si>
  <si>
    <t>2445620.327 </t>
  </si>
  <si>
    <t> 12.10.1983 19:50 </t>
  </si>
  <si>
    <t>2446644.455 </t>
  </si>
  <si>
    <t> 01.08.1986 22:55 </t>
  </si>
  <si>
    <t> 0.048 </t>
  </si>
  <si>
    <t>V </t>
  </si>
  <si>
    <t> K.Locher </t>
  </si>
  <si>
    <t> BBS 81 </t>
  </si>
  <si>
    <t>2447805.457 </t>
  </si>
  <si>
    <t> 05.10.1989 22:58 </t>
  </si>
  <si>
    <t> 0.028 </t>
  </si>
  <si>
    <t> J.Manek </t>
  </si>
  <si>
    <t> BRNO 30 </t>
  </si>
  <si>
    <t>2447805.459 </t>
  </si>
  <si>
    <t> 05.10.1989 23:00 </t>
  </si>
  <si>
    <t> 0.030 </t>
  </si>
  <si>
    <t> A.Dedoch </t>
  </si>
  <si>
    <t>2448156.447 </t>
  </si>
  <si>
    <t> 21.09.1990 22:43 </t>
  </si>
  <si>
    <t> 0.026 </t>
  </si>
  <si>
    <t> J.Borovicka </t>
  </si>
  <si>
    <t> BRNO 31 </t>
  </si>
  <si>
    <t>2451036.3908 </t>
  </si>
  <si>
    <t> 10.08.1998 21:22 </t>
  </si>
  <si>
    <t> 0.0044 </t>
  </si>
  <si>
    <t>E </t>
  </si>
  <si>
    <t>?</t>
  </si>
  <si>
    <t> J.Safar </t>
  </si>
  <si>
    <t>IBVS 4888 </t>
  </si>
  <si>
    <t>2451363.4798 </t>
  </si>
  <si>
    <t> 03.07.1999 23:30 </t>
  </si>
  <si>
    <t> 0.0033 </t>
  </si>
  <si>
    <t>IBVS 5263 </t>
  </si>
  <si>
    <t>2451811.554 </t>
  </si>
  <si>
    <t> 24.09.2000 01:17 </t>
  </si>
  <si>
    <t> 0.006 </t>
  </si>
  <si>
    <t> BBS 123 </t>
  </si>
  <si>
    <t>2451812.368 </t>
  </si>
  <si>
    <t> 24.09.2000 20:49 </t>
  </si>
  <si>
    <t> 0.002 </t>
  </si>
  <si>
    <t>2451814.336 </t>
  </si>
  <si>
    <t> 26.09.2000 20:03 </t>
  </si>
  <si>
    <t>2451814.493 </t>
  </si>
  <si>
    <t> 26.09.2000 23:49 </t>
  </si>
  <si>
    <t> -0.001 </t>
  </si>
  <si>
    <t>2451846.405 </t>
  </si>
  <si>
    <t> 28.10.2000 21:43 </t>
  </si>
  <si>
    <t> -0.013 </t>
  </si>
  <si>
    <t> BBS 124 </t>
  </si>
  <si>
    <t>2452092.594 </t>
  </si>
  <si>
    <t> 02.07.2001 02:15 </t>
  </si>
  <si>
    <t> -0.042 </t>
  </si>
  <si>
    <t> BBS 126 </t>
  </si>
  <si>
    <t>2452260.258 </t>
  </si>
  <si>
    <t> 16.12.2001 18:11 </t>
  </si>
  <si>
    <t> -0.015 </t>
  </si>
  <si>
    <t> BBS 127 </t>
  </si>
  <si>
    <t>2452464.575 </t>
  </si>
  <si>
    <t> 09.07.2002 01:48 </t>
  </si>
  <si>
    <t> -0.007 </t>
  </si>
  <si>
    <t> BBS 128 </t>
  </si>
  <si>
    <t>2452530.400 </t>
  </si>
  <si>
    <t> 12.09.2002 21:36 </t>
  </si>
  <si>
    <t> 0.007 </t>
  </si>
  <si>
    <t> BBS 129 </t>
  </si>
  <si>
    <t>2452550.0353 </t>
  </si>
  <si>
    <t> 02.10.2002 12:50 </t>
  </si>
  <si>
    <t> -0.0026 </t>
  </si>
  <si>
    <t> Nakajima </t>
  </si>
  <si>
    <t>VSB 40 </t>
  </si>
  <si>
    <t>2452551.0153 </t>
  </si>
  <si>
    <t> 03.10.2002 12:22 </t>
  </si>
  <si>
    <t> -0.0049 </t>
  </si>
  <si>
    <t>2452552.0047 </t>
  </si>
  <si>
    <t> 04.10.2002 12:06 </t>
  </si>
  <si>
    <t> 0.0023 </t>
  </si>
  <si>
    <t>2452552.9845 </t>
  </si>
  <si>
    <t> 05.10.2002 11:37 </t>
  </si>
  <si>
    <t> -0.0002 </t>
  </si>
  <si>
    <t>2452557.0772 </t>
  </si>
  <si>
    <t> 09.10.2002 13:51 </t>
  </si>
  <si>
    <t>2452558.0594 </t>
  </si>
  <si>
    <t> 10.10.2002 13:25 </t>
  </si>
  <si>
    <t> -0.0003 </t>
  </si>
  <si>
    <t>2452871.554 </t>
  </si>
  <si>
    <t> 20.08.2003 01:17 </t>
  </si>
  <si>
    <t> -0.008 </t>
  </si>
  <si>
    <t> BBS 130 </t>
  </si>
  <si>
    <t>2453204.542 </t>
  </si>
  <si>
    <t> 18.07.2004 01:00 </t>
  </si>
  <si>
    <t> -0.004 </t>
  </si>
  <si>
    <t>OEJV 0003 </t>
  </si>
  <si>
    <t>2453591.555 </t>
  </si>
  <si>
    <t> 09.08.2005 01:19 </t>
  </si>
  <si>
    <t>2453656.3817 </t>
  </si>
  <si>
    <t> 12.10.2005 21:09 </t>
  </si>
  <si>
    <t> M. Zejda et al. </t>
  </si>
  <si>
    <t>IBVS 5741 </t>
  </si>
  <si>
    <t>2453932.5567 </t>
  </si>
  <si>
    <t> 16.07.2006 01:21 </t>
  </si>
  <si>
    <t> -0.0020 </t>
  </si>
  <si>
    <t>C </t>
  </si>
  <si>
    <t>-I</t>
  </si>
  <si>
    <t> M.&amp; C.Rätz </t>
  </si>
  <si>
    <t>BAVM 186 </t>
  </si>
  <si>
    <t>2454767.6480 </t>
  </si>
  <si>
    <t> 28.10.2008 03:33 </t>
  </si>
  <si>
    <t>3394</t>
  </si>
  <si>
    <t> 0.0107 </t>
  </si>
  <si>
    <t>ns</t>
  </si>
  <si>
    <t> A.Paschke </t>
  </si>
  <si>
    <t>OEJV 0155 </t>
  </si>
  <si>
    <t>2455445.4079 </t>
  </si>
  <si>
    <t> 05.09.2010 21:47 </t>
  </si>
  <si>
    <t>5464</t>
  </si>
  <si>
    <t> 0.0161 </t>
  </si>
  <si>
    <t> L.Šmelcer </t>
  </si>
  <si>
    <t>OEJV 0137 </t>
  </si>
  <si>
    <t>2455480.6083 </t>
  </si>
  <si>
    <t> 11.10.2010 02:35 </t>
  </si>
  <si>
    <t>5571.5</t>
  </si>
  <si>
    <t> 0.0191 </t>
  </si>
  <si>
    <t> R.Diethelm </t>
  </si>
  <si>
    <t>IBVS 5960 </t>
  </si>
  <si>
    <t>2455862.7045 </t>
  </si>
  <si>
    <t> 28.10.2011 04:54 </t>
  </si>
  <si>
    <t>6738.5</t>
  </si>
  <si>
    <t> 0.0190 </t>
  </si>
  <si>
    <t>IBVS 6011 </t>
  </si>
  <si>
    <t>s5</t>
  </si>
  <si>
    <t>s6</t>
  </si>
  <si>
    <t>s7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</si>
  <si>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</si>
  <si>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</si>
  <si>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</si>
  <si>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</si>
  <si>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Linear Ephemeris =</t>
  </si>
  <si>
    <t>Quad. Ephemeris =</t>
  </si>
  <si>
    <t>JAVSO..48..256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</si>
</sst>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2"/>
      <name val="Arial"/>
    </font>
    <font>
      <b/>
      <vertAlign val="superscript"/>
      <sz val="10"/>
      <name val="Arial"/>
      <family val="2"/>
    </font>
    <font>
      <b/>
      <sz val="10"/>
      <color indexed="14"/>
      <name val="Arial"/>
    </font>
    <font>
      <sz val="10"/>
      <color indexed="14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9" fillId="0" borderId="0" xfId="0" applyFont="1" applyAlignment="1"/>
    <xf numFmtId="0" fontId="0" fillId="0" borderId="0" xfId="0">
      <alignment vertical="top"/>
    </xf>
    <xf numFmtId="0" fontId="5" fillId="0" borderId="11" xfId="0" applyFont="1" applyBorder="1" applyAlignment="1">
      <alignment horizontal="left"/>
    </xf>
    <xf numFmtId="0" fontId="10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14" fontId="15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left" wrapText="1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11" fontId="0" fillId="0" borderId="0" xfId="0" applyNumberFormat="1" applyAlignment="1"/>
    <xf numFmtId="0" fontId="18" fillId="0" borderId="19" xfId="0" applyFont="1" applyBorder="1" applyAlignment="1"/>
    <xf numFmtId="0" fontId="18" fillId="0" borderId="20" xfId="0" applyFont="1" applyBorder="1" applyAlignment="1"/>
    <xf numFmtId="0" fontId="18" fillId="0" borderId="21" xfId="0" applyFont="1" applyBorder="1" applyAlignment="1"/>
    <xf numFmtId="0" fontId="13" fillId="0" borderId="0" xfId="0" applyFont="1" applyAlignment="1">
      <alignment horizontal="center" vertical="top"/>
    </xf>
    <xf numFmtId="0" fontId="12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14" fillId="0" borderId="0" xfId="0" applyFont="1" applyAlignment="1"/>
    <xf numFmtId="0" fontId="21" fillId="0" borderId="0" xfId="0" applyFont="1" applyAlignment="1"/>
    <xf numFmtId="0" fontId="0" fillId="0" borderId="22" xfId="0" applyBorder="1" applyAlignment="1"/>
    <xf numFmtId="0" fontId="0" fillId="0" borderId="23" xfId="0" applyBorder="1" applyAlignment="1"/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38" fillId="25" borderId="0" xfId="0" applyFont="1" applyFill="1" applyAlignment="1"/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Aqr - O-C Diagr.</a:t>
            </a:r>
          </a:p>
        </c:rich>
      </c:tx>
      <c:layout>
        <c:manualLayout>
          <c:xMode val="edge"/>
          <c:yMode val="edge"/>
          <c:x val="0.3691511438019987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4829757255467"/>
          <c:y val="0.14723926380368099"/>
          <c:w val="0.8041601259208170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-17931</c:v>
                </c:pt>
                <c:pt idx="1">
                  <c:v>-17879.5</c:v>
                </c:pt>
                <c:pt idx="2">
                  <c:v>-17858</c:v>
                </c:pt>
                <c:pt idx="3">
                  <c:v>-17763.5</c:v>
                </c:pt>
                <c:pt idx="4">
                  <c:v>-16710</c:v>
                </c:pt>
                <c:pt idx="5">
                  <c:v>-16704</c:v>
                </c:pt>
                <c:pt idx="6">
                  <c:v>-16697.5</c:v>
                </c:pt>
                <c:pt idx="7">
                  <c:v>-12284</c:v>
                </c:pt>
                <c:pt idx="8">
                  <c:v>-8942.5</c:v>
                </c:pt>
                <c:pt idx="9">
                  <c:v>-8930.5</c:v>
                </c:pt>
                <c:pt idx="10">
                  <c:v>-8863.5</c:v>
                </c:pt>
                <c:pt idx="11">
                  <c:v>-8851.5</c:v>
                </c:pt>
                <c:pt idx="12">
                  <c:v>-8833</c:v>
                </c:pt>
                <c:pt idx="13">
                  <c:v>-8763</c:v>
                </c:pt>
                <c:pt idx="14">
                  <c:v>-7843</c:v>
                </c:pt>
                <c:pt idx="15">
                  <c:v>-7837</c:v>
                </c:pt>
                <c:pt idx="16">
                  <c:v>-5610.5</c:v>
                </c:pt>
                <c:pt idx="17">
                  <c:v>-4535</c:v>
                </c:pt>
                <c:pt idx="18">
                  <c:v>-4178.5</c:v>
                </c:pt>
                <c:pt idx="19">
                  <c:v>-3499.5</c:v>
                </c:pt>
                <c:pt idx="20">
                  <c:v>-3341</c:v>
                </c:pt>
                <c:pt idx="21">
                  <c:v>-3338</c:v>
                </c:pt>
                <c:pt idx="22">
                  <c:v>-3335</c:v>
                </c:pt>
                <c:pt idx="23">
                  <c:v>-2278</c:v>
                </c:pt>
                <c:pt idx="24">
                  <c:v>-12284</c:v>
                </c:pt>
                <c:pt idx="25">
                  <c:v>-2272</c:v>
                </c:pt>
                <c:pt idx="26">
                  <c:v>-2269</c:v>
                </c:pt>
                <c:pt idx="27">
                  <c:v>-1005</c:v>
                </c:pt>
                <c:pt idx="28">
                  <c:v>-21</c:v>
                </c:pt>
                <c:pt idx="29">
                  <c:v>-9</c:v>
                </c:pt>
                <c:pt idx="30">
                  <c:v>-6</c:v>
                </c:pt>
                <c:pt idx="31">
                  <c:v>12.5</c:v>
                </c:pt>
                <c:pt idx="32">
                  <c:v>76.5</c:v>
                </c:pt>
                <c:pt idx="33">
                  <c:v>101</c:v>
                </c:pt>
                <c:pt idx="34">
                  <c:v>1078.5</c:v>
                </c:pt>
                <c:pt idx="35">
                  <c:v>1081.5</c:v>
                </c:pt>
                <c:pt idx="36">
                  <c:v>1087.5</c:v>
                </c:pt>
                <c:pt idx="37">
                  <c:v>1103</c:v>
                </c:pt>
                <c:pt idx="38">
                  <c:v>1182</c:v>
                </c:pt>
                <c:pt idx="39">
                  <c:v>4310</c:v>
                </c:pt>
                <c:pt idx="40">
                  <c:v>7856</c:v>
                </c:pt>
                <c:pt idx="41">
                  <c:v>7856</c:v>
                </c:pt>
                <c:pt idx="42">
                  <c:v>8928</c:v>
                </c:pt>
                <c:pt idx="43">
                  <c:v>17724</c:v>
                </c:pt>
                <c:pt idx="44">
                  <c:v>18723</c:v>
                </c:pt>
                <c:pt idx="45">
                  <c:v>20091.5</c:v>
                </c:pt>
                <c:pt idx="46">
                  <c:v>20094</c:v>
                </c:pt>
                <c:pt idx="47">
                  <c:v>20100</c:v>
                </c:pt>
                <c:pt idx="48">
                  <c:v>20100.5</c:v>
                </c:pt>
                <c:pt idx="49">
                  <c:v>20198</c:v>
                </c:pt>
                <c:pt idx="50">
                  <c:v>20950</c:v>
                </c:pt>
                <c:pt idx="51">
                  <c:v>21462</c:v>
                </c:pt>
                <c:pt idx="52">
                  <c:v>22086</c:v>
                </c:pt>
                <c:pt idx="53">
                  <c:v>22287</c:v>
                </c:pt>
                <c:pt idx="54">
                  <c:v>22347</c:v>
                </c:pt>
                <c:pt idx="55">
                  <c:v>22350</c:v>
                </c:pt>
                <c:pt idx="56">
                  <c:v>22353</c:v>
                </c:pt>
                <c:pt idx="57">
                  <c:v>22356</c:v>
                </c:pt>
                <c:pt idx="58">
                  <c:v>22368.5</c:v>
                </c:pt>
                <c:pt idx="59">
                  <c:v>22371.5</c:v>
                </c:pt>
                <c:pt idx="60">
                  <c:v>23329</c:v>
                </c:pt>
                <c:pt idx="61">
                  <c:v>24346</c:v>
                </c:pt>
                <c:pt idx="62">
                  <c:v>25528</c:v>
                </c:pt>
                <c:pt idx="63">
                  <c:v>25726</c:v>
                </c:pt>
                <c:pt idx="64">
                  <c:v>26569.5</c:v>
                </c:pt>
                <c:pt idx="65">
                  <c:v>29120</c:v>
                </c:pt>
                <c:pt idx="66">
                  <c:v>31190</c:v>
                </c:pt>
                <c:pt idx="67">
                  <c:v>31190</c:v>
                </c:pt>
                <c:pt idx="68">
                  <c:v>31297.5</c:v>
                </c:pt>
                <c:pt idx="69">
                  <c:v>32464.5</c:v>
                </c:pt>
                <c:pt idx="70">
                  <c:v>35812</c:v>
                </c:pt>
                <c:pt idx="71">
                  <c:v>36823</c:v>
                </c:pt>
                <c:pt idx="72">
                  <c:v>37959</c:v>
                </c:pt>
                <c:pt idx="73">
                  <c:v>41340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C8-4A6D-8A0C-48E5D3F2680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1.8E-3</c:v>
                  </c:pt>
                  <c:pt idx="44">
                    <c:v>2.5000000000000001E-3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4.0000000000000001E-3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2.3999999999999998E-3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5.9999999999999995E-4</c:v>
                  </c:pt>
                  <c:pt idx="72">
                    <c:v>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1.8E-3</c:v>
                  </c:pt>
                  <c:pt idx="44">
                    <c:v>2.5000000000000001E-3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4.0000000000000001E-3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2.3999999999999998E-3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5.9999999999999995E-4</c:v>
                  </c:pt>
                  <c:pt idx="72">
                    <c:v>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-17931</c:v>
                </c:pt>
                <c:pt idx="1">
                  <c:v>-17879.5</c:v>
                </c:pt>
                <c:pt idx="2">
                  <c:v>-17858</c:v>
                </c:pt>
                <c:pt idx="3">
                  <c:v>-17763.5</c:v>
                </c:pt>
                <c:pt idx="4">
                  <c:v>-16710</c:v>
                </c:pt>
                <c:pt idx="5">
                  <c:v>-16704</c:v>
                </c:pt>
                <c:pt idx="6">
                  <c:v>-16697.5</c:v>
                </c:pt>
                <c:pt idx="7">
                  <c:v>-12284</c:v>
                </c:pt>
                <c:pt idx="8">
                  <c:v>-8942.5</c:v>
                </c:pt>
                <c:pt idx="9">
                  <c:v>-8930.5</c:v>
                </c:pt>
                <c:pt idx="10">
                  <c:v>-8863.5</c:v>
                </c:pt>
                <c:pt idx="11">
                  <c:v>-8851.5</c:v>
                </c:pt>
                <c:pt idx="12">
                  <c:v>-8833</c:v>
                </c:pt>
                <c:pt idx="13">
                  <c:v>-8763</c:v>
                </c:pt>
                <c:pt idx="14">
                  <c:v>-7843</c:v>
                </c:pt>
                <c:pt idx="15">
                  <c:v>-7837</c:v>
                </c:pt>
                <c:pt idx="16">
                  <c:v>-5610.5</c:v>
                </c:pt>
                <c:pt idx="17">
                  <c:v>-4535</c:v>
                </c:pt>
                <c:pt idx="18">
                  <c:v>-4178.5</c:v>
                </c:pt>
                <c:pt idx="19">
                  <c:v>-3499.5</c:v>
                </c:pt>
                <c:pt idx="20">
                  <c:v>-3341</c:v>
                </c:pt>
                <c:pt idx="21">
                  <c:v>-3338</c:v>
                </c:pt>
                <c:pt idx="22">
                  <c:v>-3335</c:v>
                </c:pt>
                <c:pt idx="23">
                  <c:v>-2278</c:v>
                </c:pt>
                <c:pt idx="24">
                  <c:v>-12284</c:v>
                </c:pt>
                <c:pt idx="25">
                  <c:v>-2272</c:v>
                </c:pt>
                <c:pt idx="26">
                  <c:v>-2269</c:v>
                </c:pt>
                <c:pt idx="27">
                  <c:v>-1005</c:v>
                </c:pt>
                <c:pt idx="28">
                  <c:v>-21</c:v>
                </c:pt>
                <c:pt idx="29">
                  <c:v>-9</c:v>
                </c:pt>
                <c:pt idx="30">
                  <c:v>-6</c:v>
                </c:pt>
                <c:pt idx="31">
                  <c:v>12.5</c:v>
                </c:pt>
                <c:pt idx="32">
                  <c:v>76.5</c:v>
                </c:pt>
                <c:pt idx="33">
                  <c:v>101</c:v>
                </c:pt>
                <c:pt idx="34">
                  <c:v>1078.5</c:v>
                </c:pt>
                <c:pt idx="35">
                  <c:v>1081.5</c:v>
                </c:pt>
                <c:pt idx="36">
                  <c:v>1087.5</c:v>
                </c:pt>
                <c:pt idx="37">
                  <c:v>1103</c:v>
                </c:pt>
                <c:pt idx="38">
                  <c:v>1182</c:v>
                </c:pt>
                <c:pt idx="39">
                  <c:v>4310</c:v>
                </c:pt>
                <c:pt idx="40">
                  <c:v>7856</c:v>
                </c:pt>
                <c:pt idx="41">
                  <c:v>7856</c:v>
                </c:pt>
                <c:pt idx="42">
                  <c:v>8928</c:v>
                </c:pt>
                <c:pt idx="43">
                  <c:v>17724</c:v>
                </c:pt>
                <c:pt idx="44">
                  <c:v>18723</c:v>
                </c:pt>
                <c:pt idx="45">
                  <c:v>20091.5</c:v>
                </c:pt>
                <c:pt idx="46">
                  <c:v>20094</c:v>
                </c:pt>
                <c:pt idx="47">
                  <c:v>20100</c:v>
                </c:pt>
                <c:pt idx="48">
                  <c:v>20100.5</c:v>
                </c:pt>
                <c:pt idx="49">
                  <c:v>20198</c:v>
                </c:pt>
                <c:pt idx="50">
                  <c:v>20950</c:v>
                </c:pt>
                <c:pt idx="51">
                  <c:v>21462</c:v>
                </c:pt>
                <c:pt idx="52">
                  <c:v>22086</c:v>
                </c:pt>
                <c:pt idx="53">
                  <c:v>22287</c:v>
                </c:pt>
                <c:pt idx="54">
                  <c:v>22347</c:v>
                </c:pt>
                <c:pt idx="55">
                  <c:v>22350</c:v>
                </c:pt>
                <c:pt idx="56">
                  <c:v>22353</c:v>
                </c:pt>
                <c:pt idx="57">
                  <c:v>22356</c:v>
                </c:pt>
                <c:pt idx="58">
                  <c:v>22368.5</c:v>
                </c:pt>
                <c:pt idx="59">
                  <c:v>22371.5</c:v>
                </c:pt>
                <c:pt idx="60">
                  <c:v>23329</c:v>
                </c:pt>
                <c:pt idx="61">
                  <c:v>24346</c:v>
                </c:pt>
                <c:pt idx="62">
                  <c:v>25528</c:v>
                </c:pt>
                <c:pt idx="63">
                  <c:v>25726</c:v>
                </c:pt>
                <c:pt idx="64">
                  <c:v>26569.5</c:v>
                </c:pt>
                <c:pt idx="65">
                  <c:v>29120</c:v>
                </c:pt>
                <c:pt idx="66">
                  <c:v>31190</c:v>
                </c:pt>
                <c:pt idx="67">
                  <c:v>31190</c:v>
                </c:pt>
                <c:pt idx="68">
                  <c:v>31297.5</c:v>
                </c:pt>
                <c:pt idx="69">
                  <c:v>32464.5</c:v>
                </c:pt>
                <c:pt idx="70">
                  <c:v>35812</c:v>
                </c:pt>
                <c:pt idx="71">
                  <c:v>36823</c:v>
                </c:pt>
                <c:pt idx="72">
                  <c:v>37959</c:v>
                </c:pt>
                <c:pt idx="73">
                  <c:v>41340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-2.2669300007692073E-2</c:v>
                </c:pt>
                <c:pt idx="1">
                  <c:v>1.7311500050709583E-3</c:v>
                </c:pt>
                <c:pt idx="2">
                  <c:v>5.422599999292288E-3</c:v>
                </c:pt>
                <c:pt idx="3">
                  <c:v>2.3205949997645803E-2</c:v>
                </c:pt>
                <c:pt idx="4">
                  <c:v>2.0870000007562339E-3</c:v>
                </c:pt>
                <c:pt idx="5">
                  <c:v>-3.3712000004015863E-3</c:v>
                </c:pt>
                <c:pt idx="6">
                  <c:v>-2.3534250001830515E-2</c:v>
                </c:pt>
                <c:pt idx="7">
                  <c:v>-2.9245199999422766E-2</c:v>
                </c:pt>
                <c:pt idx="8">
                  <c:v>-1.4757750002900138E-2</c:v>
                </c:pt>
                <c:pt idx="9">
                  <c:v>-6.6741499977069907E-3</c:v>
                </c:pt>
                <c:pt idx="10">
                  <c:v>6.8759499990846962E-3</c:v>
                </c:pt>
                <c:pt idx="11">
                  <c:v>-1.4040449997992255E-2</c:v>
                </c:pt>
                <c:pt idx="12">
                  <c:v>9.8800999985542148E-3</c:v>
                </c:pt>
                <c:pt idx="13">
                  <c:v>2.1201100003963802E-2</c:v>
                </c:pt>
                <c:pt idx="14">
                  <c:v>-3.2722899995860644E-2</c:v>
                </c:pt>
                <c:pt idx="15">
                  <c:v>2.2818899997218978E-2</c:v>
                </c:pt>
                <c:pt idx="16">
                  <c:v>8.121849998133257E-3</c:v>
                </c:pt>
                <c:pt idx="17">
                  <c:v>-1.8010500003583729E-2</c:v>
                </c:pt>
                <c:pt idx="18">
                  <c:v>-1.5568549999443348E-2</c:v>
                </c:pt>
                <c:pt idx="19">
                  <c:v>-9.7548499979893677E-3</c:v>
                </c:pt>
                <c:pt idx="20">
                  <c:v>-1.4192299997375812E-2</c:v>
                </c:pt>
                <c:pt idx="21">
                  <c:v>-1.5421399999468122E-2</c:v>
                </c:pt>
                <c:pt idx="22">
                  <c:v>1.349499994830694E-3</c:v>
                </c:pt>
                <c:pt idx="23">
                  <c:v>4.2966000037267804E-3</c:v>
                </c:pt>
                <c:pt idx="25">
                  <c:v>-1.8161600004532374E-2</c:v>
                </c:pt>
                <c:pt idx="26">
                  <c:v>6.0929999744985253E-4</c:v>
                </c:pt>
                <c:pt idx="27">
                  <c:v>-2.5150000146823004E-4</c:v>
                </c:pt>
                <c:pt idx="28">
                  <c:v>-3.9630000537727028E-4</c:v>
                </c:pt>
                <c:pt idx="29">
                  <c:v>7.6872999998158775E-3</c:v>
                </c:pt>
                <c:pt idx="30">
                  <c:v>1.2458199991669971E-2</c:v>
                </c:pt>
                <c:pt idx="31">
                  <c:v>-1.1621249999734573E-2</c:v>
                </c:pt>
                <c:pt idx="32">
                  <c:v>1.3157950001186691E-2</c:v>
                </c:pt>
                <c:pt idx="33">
                  <c:v>4.6202999947126955E-3</c:v>
                </c:pt>
                <c:pt idx="34">
                  <c:v>-4.1361449999385513E-2</c:v>
                </c:pt>
                <c:pt idx="35">
                  <c:v>-1.3590549999207724E-2</c:v>
                </c:pt>
                <c:pt idx="36">
                  <c:v>2.2951250000915024E-2</c:v>
                </c:pt>
                <c:pt idx="37">
                  <c:v>3.8100900004792493E-2</c:v>
                </c:pt>
                <c:pt idx="38">
                  <c:v>3.6734599998453632E-2</c:v>
                </c:pt>
                <c:pt idx="39">
                  <c:v>2.7193000001716428E-2</c:v>
                </c:pt>
                <c:pt idx="40">
                  <c:v>3.4396800001559313E-2</c:v>
                </c:pt>
                <c:pt idx="41">
                  <c:v>3.6396800001966767E-2</c:v>
                </c:pt>
                <c:pt idx="42">
                  <c:v>4.1198399994755164E-2</c:v>
                </c:pt>
                <c:pt idx="45">
                  <c:v>0.11001244999351911</c:v>
                </c:pt>
                <c:pt idx="46">
                  <c:v>0.10548820000258274</c:v>
                </c:pt>
                <c:pt idx="47">
                  <c:v>0.10902999999962049</c:v>
                </c:pt>
                <c:pt idx="48">
                  <c:v>0.10232515000097919</c:v>
                </c:pt>
                <c:pt idx="49">
                  <c:v>9.1879399995377753E-2</c:v>
                </c:pt>
                <c:pt idx="50">
                  <c:v>6.8784999995841645E-2</c:v>
                </c:pt>
                <c:pt idx="51">
                  <c:v>9.9018599998089485E-2</c:v>
                </c:pt>
                <c:pt idx="52">
                  <c:v>0.11236579999240348</c:v>
                </c:pt>
                <c:pt idx="61">
                  <c:v>0.13344379999762168</c:v>
                </c:pt>
                <c:pt idx="62">
                  <c:v>0.14817839999886928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C8-4A6D-8A0C-48E5D3F2680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-17931</c:v>
                </c:pt>
                <c:pt idx="1">
                  <c:v>-17879.5</c:v>
                </c:pt>
                <c:pt idx="2">
                  <c:v>-17858</c:v>
                </c:pt>
                <c:pt idx="3">
                  <c:v>-17763.5</c:v>
                </c:pt>
                <c:pt idx="4">
                  <c:v>-16710</c:v>
                </c:pt>
                <c:pt idx="5">
                  <c:v>-16704</c:v>
                </c:pt>
                <c:pt idx="6">
                  <c:v>-16697.5</c:v>
                </c:pt>
                <c:pt idx="7">
                  <c:v>-12284</c:v>
                </c:pt>
                <c:pt idx="8">
                  <c:v>-8942.5</c:v>
                </c:pt>
                <c:pt idx="9">
                  <c:v>-8930.5</c:v>
                </c:pt>
                <c:pt idx="10">
                  <c:v>-8863.5</c:v>
                </c:pt>
                <c:pt idx="11">
                  <c:v>-8851.5</c:v>
                </c:pt>
                <c:pt idx="12">
                  <c:v>-8833</c:v>
                </c:pt>
                <c:pt idx="13">
                  <c:v>-8763</c:v>
                </c:pt>
                <c:pt idx="14">
                  <c:v>-7843</c:v>
                </c:pt>
                <c:pt idx="15">
                  <c:v>-7837</c:v>
                </c:pt>
                <c:pt idx="16">
                  <c:v>-5610.5</c:v>
                </c:pt>
                <c:pt idx="17">
                  <c:v>-4535</c:v>
                </c:pt>
                <c:pt idx="18">
                  <c:v>-4178.5</c:v>
                </c:pt>
                <c:pt idx="19">
                  <c:v>-3499.5</c:v>
                </c:pt>
                <c:pt idx="20">
                  <c:v>-3341</c:v>
                </c:pt>
                <c:pt idx="21">
                  <c:v>-3338</c:v>
                </c:pt>
                <c:pt idx="22">
                  <c:v>-3335</c:v>
                </c:pt>
                <c:pt idx="23">
                  <c:v>-2278</c:v>
                </c:pt>
                <c:pt idx="24">
                  <c:v>-12284</c:v>
                </c:pt>
                <c:pt idx="25">
                  <c:v>-2272</c:v>
                </c:pt>
                <c:pt idx="26">
                  <c:v>-2269</c:v>
                </c:pt>
                <c:pt idx="27">
                  <c:v>-1005</c:v>
                </c:pt>
                <c:pt idx="28">
                  <c:v>-21</c:v>
                </c:pt>
                <c:pt idx="29">
                  <c:v>-9</c:v>
                </c:pt>
                <c:pt idx="30">
                  <c:v>-6</c:v>
                </c:pt>
                <c:pt idx="31">
                  <c:v>12.5</c:v>
                </c:pt>
                <c:pt idx="32">
                  <c:v>76.5</c:v>
                </c:pt>
                <c:pt idx="33">
                  <c:v>101</c:v>
                </c:pt>
                <c:pt idx="34">
                  <c:v>1078.5</c:v>
                </c:pt>
                <c:pt idx="35">
                  <c:v>1081.5</c:v>
                </c:pt>
                <c:pt idx="36">
                  <c:v>1087.5</c:v>
                </c:pt>
                <c:pt idx="37">
                  <c:v>1103</c:v>
                </c:pt>
                <c:pt idx="38">
                  <c:v>1182</c:v>
                </c:pt>
                <c:pt idx="39">
                  <c:v>4310</c:v>
                </c:pt>
                <c:pt idx="40">
                  <c:v>7856</c:v>
                </c:pt>
                <c:pt idx="41">
                  <c:v>7856</c:v>
                </c:pt>
                <c:pt idx="42">
                  <c:v>8928</c:v>
                </c:pt>
                <c:pt idx="43">
                  <c:v>17724</c:v>
                </c:pt>
                <c:pt idx="44">
                  <c:v>18723</c:v>
                </c:pt>
                <c:pt idx="45">
                  <c:v>20091.5</c:v>
                </c:pt>
                <c:pt idx="46">
                  <c:v>20094</c:v>
                </c:pt>
                <c:pt idx="47">
                  <c:v>20100</c:v>
                </c:pt>
                <c:pt idx="48">
                  <c:v>20100.5</c:v>
                </c:pt>
                <c:pt idx="49">
                  <c:v>20198</c:v>
                </c:pt>
                <c:pt idx="50">
                  <c:v>20950</c:v>
                </c:pt>
                <c:pt idx="51">
                  <c:v>21462</c:v>
                </c:pt>
                <c:pt idx="52">
                  <c:v>22086</c:v>
                </c:pt>
                <c:pt idx="53">
                  <c:v>22287</c:v>
                </c:pt>
                <c:pt idx="54">
                  <c:v>22347</c:v>
                </c:pt>
                <c:pt idx="55">
                  <c:v>22350</c:v>
                </c:pt>
                <c:pt idx="56">
                  <c:v>22353</c:v>
                </c:pt>
                <c:pt idx="57">
                  <c:v>22356</c:v>
                </c:pt>
                <c:pt idx="58">
                  <c:v>22368.5</c:v>
                </c:pt>
                <c:pt idx="59">
                  <c:v>22371.5</c:v>
                </c:pt>
                <c:pt idx="60">
                  <c:v>23329</c:v>
                </c:pt>
                <c:pt idx="61">
                  <c:v>24346</c:v>
                </c:pt>
                <c:pt idx="62">
                  <c:v>25528</c:v>
                </c:pt>
                <c:pt idx="63">
                  <c:v>25726</c:v>
                </c:pt>
                <c:pt idx="64">
                  <c:v>26569.5</c:v>
                </c:pt>
                <c:pt idx="65">
                  <c:v>29120</c:v>
                </c:pt>
                <c:pt idx="66">
                  <c:v>31190</c:v>
                </c:pt>
                <c:pt idx="67">
                  <c:v>31190</c:v>
                </c:pt>
                <c:pt idx="68">
                  <c:v>31297.5</c:v>
                </c:pt>
                <c:pt idx="69">
                  <c:v>32464.5</c:v>
                </c:pt>
                <c:pt idx="70">
                  <c:v>35812</c:v>
                </c:pt>
                <c:pt idx="71">
                  <c:v>36823</c:v>
                </c:pt>
                <c:pt idx="72">
                  <c:v>37959</c:v>
                </c:pt>
                <c:pt idx="73">
                  <c:v>41340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64">
                  <c:v>0.15267584999674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C8-4A6D-8A0C-48E5D3F2680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1.8E-3</c:v>
                  </c:pt>
                  <c:pt idx="44">
                    <c:v>2.5000000000000001E-3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4.0000000000000001E-3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2.3999999999999998E-3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5.9999999999999995E-4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1.8E-3</c:v>
                  </c:pt>
                  <c:pt idx="44">
                    <c:v>2.5000000000000001E-3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4.0000000000000001E-3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2.3999999999999998E-3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5.9999999999999995E-4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-17931</c:v>
                </c:pt>
                <c:pt idx="1">
                  <c:v>-17879.5</c:v>
                </c:pt>
                <c:pt idx="2">
                  <c:v>-17858</c:v>
                </c:pt>
                <c:pt idx="3">
                  <c:v>-17763.5</c:v>
                </c:pt>
                <c:pt idx="4">
                  <c:v>-16710</c:v>
                </c:pt>
                <c:pt idx="5">
                  <c:v>-16704</c:v>
                </c:pt>
                <c:pt idx="6">
                  <c:v>-16697.5</c:v>
                </c:pt>
                <c:pt idx="7">
                  <c:v>-12284</c:v>
                </c:pt>
                <c:pt idx="8">
                  <c:v>-8942.5</c:v>
                </c:pt>
                <c:pt idx="9">
                  <c:v>-8930.5</c:v>
                </c:pt>
                <c:pt idx="10">
                  <c:v>-8863.5</c:v>
                </c:pt>
                <c:pt idx="11">
                  <c:v>-8851.5</c:v>
                </c:pt>
                <c:pt idx="12">
                  <c:v>-8833</c:v>
                </c:pt>
                <c:pt idx="13">
                  <c:v>-8763</c:v>
                </c:pt>
                <c:pt idx="14">
                  <c:v>-7843</c:v>
                </c:pt>
                <c:pt idx="15">
                  <c:v>-7837</c:v>
                </c:pt>
                <c:pt idx="16">
                  <c:v>-5610.5</c:v>
                </c:pt>
                <c:pt idx="17">
                  <c:v>-4535</c:v>
                </c:pt>
                <c:pt idx="18">
                  <c:v>-4178.5</c:v>
                </c:pt>
                <c:pt idx="19">
                  <c:v>-3499.5</c:v>
                </c:pt>
                <c:pt idx="20">
                  <c:v>-3341</c:v>
                </c:pt>
                <c:pt idx="21">
                  <c:v>-3338</c:v>
                </c:pt>
                <c:pt idx="22">
                  <c:v>-3335</c:v>
                </c:pt>
                <c:pt idx="23">
                  <c:v>-2278</c:v>
                </c:pt>
                <c:pt idx="24">
                  <c:v>-12284</c:v>
                </c:pt>
                <c:pt idx="25">
                  <c:v>-2272</c:v>
                </c:pt>
                <c:pt idx="26">
                  <c:v>-2269</c:v>
                </c:pt>
                <c:pt idx="27">
                  <c:v>-1005</c:v>
                </c:pt>
                <c:pt idx="28">
                  <c:v>-21</c:v>
                </c:pt>
                <c:pt idx="29">
                  <c:v>-9</c:v>
                </c:pt>
                <c:pt idx="30">
                  <c:v>-6</c:v>
                </c:pt>
                <c:pt idx="31">
                  <c:v>12.5</c:v>
                </c:pt>
                <c:pt idx="32">
                  <c:v>76.5</c:v>
                </c:pt>
                <c:pt idx="33">
                  <c:v>101</c:v>
                </c:pt>
                <c:pt idx="34">
                  <c:v>1078.5</c:v>
                </c:pt>
                <c:pt idx="35">
                  <c:v>1081.5</c:v>
                </c:pt>
                <c:pt idx="36">
                  <c:v>1087.5</c:v>
                </c:pt>
                <c:pt idx="37">
                  <c:v>1103</c:v>
                </c:pt>
                <c:pt idx="38">
                  <c:v>1182</c:v>
                </c:pt>
                <c:pt idx="39">
                  <c:v>4310</c:v>
                </c:pt>
                <c:pt idx="40">
                  <c:v>7856</c:v>
                </c:pt>
                <c:pt idx="41">
                  <c:v>7856</c:v>
                </c:pt>
                <c:pt idx="42">
                  <c:v>8928</c:v>
                </c:pt>
                <c:pt idx="43">
                  <c:v>17724</c:v>
                </c:pt>
                <c:pt idx="44">
                  <c:v>18723</c:v>
                </c:pt>
                <c:pt idx="45">
                  <c:v>20091.5</c:v>
                </c:pt>
                <c:pt idx="46">
                  <c:v>20094</c:v>
                </c:pt>
                <c:pt idx="47">
                  <c:v>20100</c:v>
                </c:pt>
                <c:pt idx="48">
                  <c:v>20100.5</c:v>
                </c:pt>
                <c:pt idx="49">
                  <c:v>20198</c:v>
                </c:pt>
                <c:pt idx="50">
                  <c:v>20950</c:v>
                </c:pt>
                <c:pt idx="51">
                  <c:v>21462</c:v>
                </c:pt>
                <c:pt idx="52">
                  <c:v>22086</c:v>
                </c:pt>
                <c:pt idx="53">
                  <c:v>22287</c:v>
                </c:pt>
                <c:pt idx="54">
                  <c:v>22347</c:v>
                </c:pt>
                <c:pt idx="55">
                  <c:v>22350</c:v>
                </c:pt>
                <c:pt idx="56">
                  <c:v>22353</c:v>
                </c:pt>
                <c:pt idx="57">
                  <c:v>22356</c:v>
                </c:pt>
                <c:pt idx="58">
                  <c:v>22368.5</c:v>
                </c:pt>
                <c:pt idx="59">
                  <c:v>22371.5</c:v>
                </c:pt>
                <c:pt idx="60">
                  <c:v>23329</c:v>
                </c:pt>
                <c:pt idx="61">
                  <c:v>24346</c:v>
                </c:pt>
                <c:pt idx="62">
                  <c:v>25528</c:v>
                </c:pt>
                <c:pt idx="63">
                  <c:v>25726</c:v>
                </c:pt>
                <c:pt idx="64">
                  <c:v>26569.5</c:v>
                </c:pt>
                <c:pt idx="65">
                  <c:v>29120</c:v>
                </c:pt>
                <c:pt idx="66">
                  <c:v>31190</c:v>
                </c:pt>
                <c:pt idx="67">
                  <c:v>31190</c:v>
                </c:pt>
                <c:pt idx="68">
                  <c:v>31297.5</c:v>
                </c:pt>
                <c:pt idx="69">
                  <c:v>32464.5</c:v>
                </c:pt>
                <c:pt idx="70">
                  <c:v>35812</c:v>
                </c:pt>
                <c:pt idx="71">
                  <c:v>36823</c:v>
                </c:pt>
                <c:pt idx="72">
                  <c:v>37959</c:v>
                </c:pt>
                <c:pt idx="73">
                  <c:v>41340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4">
                  <c:v>-2.9245199999422766E-2</c:v>
                </c:pt>
                <c:pt idx="43">
                  <c:v>8.9277200000651646E-2</c:v>
                </c:pt>
                <c:pt idx="44">
                  <c:v>9.5986899999843445E-2</c:v>
                </c:pt>
                <c:pt idx="53">
                  <c:v>0.12801609999587527</c:v>
                </c:pt>
                <c:pt idx="54">
                  <c:v>0.11873410000407603</c:v>
                </c:pt>
                <c:pt idx="55">
                  <c:v>0.11650499999814201</c:v>
                </c:pt>
                <c:pt idx="56">
                  <c:v>0.12367589999485062</c:v>
                </c:pt>
                <c:pt idx="57">
                  <c:v>0.12124679999396903</c:v>
                </c:pt>
                <c:pt idx="58">
                  <c:v>0.12132554999698186</c:v>
                </c:pt>
                <c:pt idx="59">
                  <c:v>0.12129644999367883</c:v>
                </c:pt>
                <c:pt idx="60">
                  <c:v>0.12110869999742135</c:v>
                </c:pt>
                <c:pt idx="63">
                  <c:v>0.14775779999763472</c:v>
                </c:pt>
                <c:pt idx="65">
                  <c:v>0.18553599999722792</c:v>
                </c:pt>
                <c:pt idx="66">
                  <c:v>0.20735699999931967</c:v>
                </c:pt>
                <c:pt idx="67">
                  <c:v>0.20744700000068406</c:v>
                </c:pt>
                <c:pt idx="68">
                  <c:v>0.21121424999728333</c:v>
                </c:pt>
                <c:pt idx="69">
                  <c:v>0.22029434999421937</c:v>
                </c:pt>
                <c:pt idx="70">
                  <c:v>0.24652359999890905</c:v>
                </c:pt>
                <c:pt idx="71">
                  <c:v>0.25671689999580849</c:v>
                </c:pt>
                <c:pt idx="72">
                  <c:v>0.26089769999816781</c:v>
                </c:pt>
                <c:pt idx="73">
                  <c:v>0.29040199999872129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C8-4A6D-8A0C-48E5D3F2680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1.8E-3</c:v>
                  </c:pt>
                  <c:pt idx="44">
                    <c:v>2.5000000000000001E-3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4.0000000000000001E-3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2.3999999999999998E-3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5.9999999999999995E-4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1.8E-3</c:v>
                  </c:pt>
                  <c:pt idx="44">
                    <c:v>2.5000000000000001E-3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4.0000000000000001E-3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2.3999999999999998E-3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5.9999999999999995E-4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-17931</c:v>
                </c:pt>
                <c:pt idx="1">
                  <c:v>-17879.5</c:v>
                </c:pt>
                <c:pt idx="2">
                  <c:v>-17858</c:v>
                </c:pt>
                <c:pt idx="3">
                  <c:v>-17763.5</c:v>
                </c:pt>
                <c:pt idx="4">
                  <c:v>-16710</c:v>
                </c:pt>
                <c:pt idx="5">
                  <c:v>-16704</c:v>
                </c:pt>
                <c:pt idx="6">
                  <c:v>-16697.5</c:v>
                </c:pt>
                <c:pt idx="7">
                  <c:v>-12284</c:v>
                </c:pt>
                <c:pt idx="8">
                  <c:v>-8942.5</c:v>
                </c:pt>
                <c:pt idx="9">
                  <c:v>-8930.5</c:v>
                </c:pt>
                <c:pt idx="10">
                  <c:v>-8863.5</c:v>
                </c:pt>
                <c:pt idx="11">
                  <c:v>-8851.5</c:v>
                </c:pt>
                <c:pt idx="12">
                  <c:v>-8833</c:v>
                </c:pt>
                <c:pt idx="13">
                  <c:v>-8763</c:v>
                </c:pt>
                <c:pt idx="14">
                  <c:v>-7843</c:v>
                </c:pt>
                <c:pt idx="15">
                  <c:v>-7837</c:v>
                </c:pt>
                <c:pt idx="16">
                  <c:v>-5610.5</c:v>
                </c:pt>
                <c:pt idx="17">
                  <c:v>-4535</c:v>
                </c:pt>
                <c:pt idx="18">
                  <c:v>-4178.5</c:v>
                </c:pt>
                <c:pt idx="19">
                  <c:v>-3499.5</c:v>
                </c:pt>
                <c:pt idx="20">
                  <c:v>-3341</c:v>
                </c:pt>
                <c:pt idx="21">
                  <c:v>-3338</c:v>
                </c:pt>
                <c:pt idx="22">
                  <c:v>-3335</c:v>
                </c:pt>
                <c:pt idx="23">
                  <c:v>-2278</c:v>
                </c:pt>
                <c:pt idx="24">
                  <c:v>-12284</c:v>
                </c:pt>
                <c:pt idx="25">
                  <c:v>-2272</c:v>
                </c:pt>
                <c:pt idx="26">
                  <c:v>-2269</c:v>
                </c:pt>
                <c:pt idx="27">
                  <c:v>-1005</c:v>
                </c:pt>
                <c:pt idx="28">
                  <c:v>-21</c:v>
                </c:pt>
                <c:pt idx="29">
                  <c:v>-9</c:v>
                </c:pt>
                <c:pt idx="30">
                  <c:v>-6</c:v>
                </c:pt>
                <c:pt idx="31">
                  <c:v>12.5</c:v>
                </c:pt>
                <c:pt idx="32">
                  <c:v>76.5</c:v>
                </c:pt>
                <c:pt idx="33">
                  <c:v>101</c:v>
                </c:pt>
                <c:pt idx="34">
                  <c:v>1078.5</c:v>
                </c:pt>
                <c:pt idx="35">
                  <c:v>1081.5</c:v>
                </c:pt>
                <c:pt idx="36">
                  <c:v>1087.5</c:v>
                </c:pt>
                <c:pt idx="37">
                  <c:v>1103</c:v>
                </c:pt>
                <c:pt idx="38">
                  <c:v>1182</c:v>
                </c:pt>
                <c:pt idx="39">
                  <c:v>4310</c:v>
                </c:pt>
                <c:pt idx="40">
                  <c:v>7856</c:v>
                </c:pt>
                <c:pt idx="41">
                  <c:v>7856</c:v>
                </c:pt>
                <c:pt idx="42">
                  <c:v>8928</c:v>
                </c:pt>
                <c:pt idx="43">
                  <c:v>17724</c:v>
                </c:pt>
                <c:pt idx="44">
                  <c:v>18723</c:v>
                </c:pt>
                <c:pt idx="45">
                  <c:v>20091.5</c:v>
                </c:pt>
                <c:pt idx="46">
                  <c:v>20094</c:v>
                </c:pt>
                <c:pt idx="47">
                  <c:v>20100</c:v>
                </c:pt>
                <c:pt idx="48">
                  <c:v>20100.5</c:v>
                </c:pt>
                <c:pt idx="49">
                  <c:v>20198</c:v>
                </c:pt>
                <c:pt idx="50">
                  <c:v>20950</c:v>
                </c:pt>
                <c:pt idx="51">
                  <c:v>21462</c:v>
                </c:pt>
                <c:pt idx="52">
                  <c:v>22086</c:v>
                </c:pt>
                <c:pt idx="53">
                  <c:v>22287</c:v>
                </c:pt>
                <c:pt idx="54">
                  <c:v>22347</c:v>
                </c:pt>
                <c:pt idx="55">
                  <c:v>22350</c:v>
                </c:pt>
                <c:pt idx="56">
                  <c:v>22353</c:v>
                </c:pt>
                <c:pt idx="57">
                  <c:v>22356</c:v>
                </c:pt>
                <c:pt idx="58">
                  <c:v>22368.5</c:v>
                </c:pt>
                <c:pt idx="59">
                  <c:v>22371.5</c:v>
                </c:pt>
                <c:pt idx="60">
                  <c:v>23329</c:v>
                </c:pt>
                <c:pt idx="61">
                  <c:v>24346</c:v>
                </c:pt>
                <c:pt idx="62">
                  <c:v>25528</c:v>
                </c:pt>
                <c:pt idx="63">
                  <c:v>25726</c:v>
                </c:pt>
                <c:pt idx="64">
                  <c:v>26569.5</c:v>
                </c:pt>
                <c:pt idx="65">
                  <c:v>29120</c:v>
                </c:pt>
                <c:pt idx="66">
                  <c:v>31190</c:v>
                </c:pt>
                <c:pt idx="67">
                  <c:v>31190</c:v>
                </c:pt>
                <c:pt idx="68">
                  <c:v>31297.5</c:v>
                </c:pt>
                <c:pt idx="69">
                  <c:v>32464.5</c:v>
                </c:pt>
                <c:pt idx="70">
                  <c:v>35812</c:v>
                </c:pt>
                <c:pt idx="71">
                  <c:v>36823</c:v>
                </c:pt>
                <c:pt idx="72">
                  <c:v>37959</c:v>
                </c:pt>
                <c:pt idx="73">
                  <c:v>41340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C8-4A6D-8A0C-48E5D3F2680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1.8E-3</c:v>
                  </c:pt>
                  <c:pt idx="44">
                    <c:v>2.5000000000000001E-3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4.0000000000000001E-3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2.3999999999999998E-3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5.9999999999999995E-4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1.8E-3</c:v>
                  </c:pt>
                  <c:pt idx="44">
                    <c:v>2.5000000000000001E-3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4.0000000000000001E-3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2.3999999999999998E-3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5.9999999999999995E-4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-17931</c:v>
                </c:pt>
                <c:pt idx="1">
                  <c:v>-17879.5</c:v>
                </c:pt>
                <c:pt idx="2">
                  <c:v>-17858</c:v>
                </c:pt>
                <c:pt idx="3">
                  <c:v>-17763.5</c:v>
                </c:pt>
                <c:pt idx="4">
                  <c:v>-16710</c:v>
                </c:pt>
                <c:pt idx="5">
                  <c:v>-16704</c:v>
                </c:pt>
                <c:pt idx="6">
                  <c:v>-16697.5</c:v>
                </c:pt>
                <c:pt idx="7">
                  <c:v>-12284</c:v>
                </c:pt>
                <c:pt idx="8">
                  <c:v>-8942.5</c:v>
                </c:pt>
                <c:pt idx="9">
                  <c:v>-8930.5</c:v>
                </c:pt>
                <c:pt idx="10">
                  <c:v>-8863.5</c:v>
                </c:pt>
                <c:pt idx="11">
                  <c:v>-8851.5</c:v>
                </c:pt>
                <c:pt idx="12">
                  <c:v>-8833</c:v>
                </c:pt>
                <c:pt idx="13">
                  <c:v>-8763</c:v>
                </c:pt>
                <c:pt idx="14">
                  <c:v>-7843</c:v>
                </c:pt>
                <c:pt idx="15">
                  <c:v>-7837</c:v>
                </c:pt>
                <c:pt idx="16">
                  <c:v>-5610.5</c:v>
                </c:pt>
                <c:pt idx="17">
                  <c:v>-4535</c:v>
                </c:pt>
                <c:pt idx="18">
                  <c:v>-4178.5</c:v>
                </c:pt>
                <c:pt idx="19">
                  <c:v>-3499.5</c:v>
                </c:pt>
                <c:pt idx="20">
                  <c:v>-3341</c:v>
                </c:pt>
                <c:pt idx="21">
                  <c:v>-3338</c:v>
                </c:pt>
                <c:pt idx="22">
                  <c:v>-3335</c:v>
                </c:pt>
                <c:pt idx="23">
                  <c:v>-2278</c:v>
                </c:pt>
                <c:pt idx="24">
                  <c:v>-12284</c:v>
                </c:pt>
                <c:pt idx="25">
                  <c:v>-2272</c:v>
                </c:pt>
                <c:pt idx="26">
                  <c:v>-2269</c:v>
                </c:pt>
                <c:pt idx="27">
                  <c:v>-1005</c:v>
                </c:pt>
                <c:pt idx="28">
                  <c:v>-21</c:v>
                </c:pt>
                <c:pt idx="29">
                  <c:v>-9</c:v>
                </c:pt>
                <c:pt idx="30">
                  <c:v>-6</c:v>
                </c:pt>
                <c:pt idx="31">
                  <c:v>12.5</c:v>
                </c:pt>
                <c:pt idx="32">
                  <c:v>76.5</c:v>
                </c:pt>
                <c:pt idx="33">
                  <c:v>101</c:v>
                </c:pt>
                <c:pt idx="34">
                  <c:v>1078.5</c:v>
                </c:pt>
                <c:pt idx="35">
                  <c:v>1081.5</c:v>
                </c:pt>
                <c:pt idx="36">
                  <c:v>1087.5</c:v>
                </c:pt>
                <c:pt idx="37">
                  <c:v>1103</c:v>
                </c:pt>
                <c:pt idx="38">
                  <c:v>1182</c:v>
                </c:pt>
                <c:pt idx="39">
                  <c:v>4310</c:v>
                </c:pt>
                <c:pt idx="40">
                  <c:v>7856</c:v>
                </c:pt>
                <c:pt idx="41">
                  <c:v>7856</c:v>
                </c:pt>
                <c:pt idx="42">
                  <c:v>8928</c:v>
                </c:pt>
                <c:pt idx="43">
                  <c:v>17724</c:v>
                </c:pt>
                <c:pt idx="44">
                  <c:v>18723</c:v>
                </c:pt>
                <c:pt idx="45">
                  <c:v>20091.5</c:v>
                </c:pt>
                <c:pt idx="46">
                  <c:v>20094</c:v>
                </c:pt>
                <c:pt idx="47">
                  <c:v>20100</c:v>
                </c:pt>
                <c:pt idx="48">
                  <c:v>20100.5</c:v>
                </c:pt>
                <c:pt idx="49">
                  <c:v>20198</c:v>
                </c:pt>
                <c:pt idx="50">
                  <c:v>20950</c:v>
                </c:pt>
                <c:pt idx="51">
                  <c:v>21462</c:v>
                </c:pt>
                <c:pt idx="52">
                  <c:v>22086</c:v>
                </c:pt>
                <c:pt idx="53">
                  <c:v>22287</c:v>
                </c:pt>
                <c:pt idx="54">
                  <c:v>22347</c:v>
                </c:pt>
                <c:pt idx="55">
                  <c:v>22350</c:v>
                </c:pt>
                <c:pt idx="56">
                  <c:v>22353</c:v>
                </c:pt>
                <c:pt idx="57">
                  <c:v>22356</c:v>
                </c:pt>
                <c:pt idx="58">
                  <c:v>22368.5</c:v>
                </c:pt>
                <c:pt idx="59">
                  <c:v>22371.5</c:v>
                </c:pt>
                <c:pt idx="60">
                  <c:v>23329</c:v>
                </c:pt>
                <c:pt idx="61">
                  <c:v>24346</c:v>
                </c:pt>
                <c:pt idx="62">
                  <c:v>25528</c:v>
                </c:pt>
                <c:pt idx="63">
                  <c:v>25726</c:v>
                </c:pt>
                <c:pt idx="64">
                  <c:v>26569.5</c:v>
                </c:pt>
                <c:pt idx="65">
                  <c:v>29120</c:v>
                </c:pt>
                <c:pt idx="66">
                  <c:v>31190</c:v>
                </c:pt>
                <c:pt idx="67">
                  <c:v>31190</c:v>
                </c:pt>
                <c:pt idx="68">
                  <c:v>31297.5</c:v>
                </c:pt>
                <c:pt idx="69">
                  <c:v>32464.5</c:v>
                </c:pt>
                <c:pt idx="70">
                  <c:v>35812</c:v>
                </c:pt>
                <c:pt idx="71">
                  <c:v>36823</c:v>
                </c:pt>
                <c:pt idx="72">
                  <c:v>37959</c:v>
                </c:pt>
                <c:pt idx="73">
                  <c:v>41340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C8-4A6D-8A0C-48E5D3F2680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1.8E-3</c:v>
                  </c:pt>
                  <c:pt idx="44">
                    <c:v>2.5000000000000001E-3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4.0000000000000001E-3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2.3999999999999998E-3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5.9999999999999995E-4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1.8E-3</c:v>
                  </c:pt>
                  <c:pt idx="44">
                    <c:v>2.5000000000000001E-3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4.0000000000000001E-3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2.3999999999999998E-3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5.9999999999999995E-4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-17931</c:v>
                </c:pt>
                <c:pt idx="1">
                  <c:v>-17879.5</c:v>
                </c:pt>
                <c:pt idx="2">
                  <c:v>-17858</c:v>
                </c:pt>
                <c:pt idx="3">
                  <c:v>-17763.5</c:v>
                </c:pt>
                <c:pt idx="4">
                  <c:v>-16710</c:v>
                </c:pt>
                <c:pt idx="5">
                  <c:v>-16704</c:v>
                </c:pt>
                <c:pt idx="6">
                  <c:v>-16697.5</c:v>
                </c:pt>
                <c:pt idx="7">
                  <c:v>-12284</c:v>
                </c:pt>
                <c:pt idx="8">
                  <c:v>-8942.5</c:v>
                </c:pt>
                <c:pt idx="9">
                  <c:v>-8930.5</c:v>
                </c:pt>
                <c:pt idx="10">
                  <c:v>-8863.5</c:v>
                </c:pt>
                <c:pt idx="11">
                  <c:v>-8851.5</c:v>
                </c:pt>
                <c:pt idx="12">
                  <c:v>-8833</c:v>
                </c:pt>
                <c:pt idx="13">
                  <c:v>-8763</c:v>
                </c:pt>
                <c:pt idx="14">
                  <c:v>-7843</c:v>
                </c:pt>
                <c:pt idx="15">
                  <c:v>-7837</c:v>
                </c:pt>
                <c:pt idx="16">
                  <c:v>-5610.5</c:v>
                </c:pt>
                <c:pt idx="17">
                  <c:v>-4535</c:v>
                </c:pt>
                <c:pt idx="18">
                  <c:v>-4178.5</c:v>
                </c:pt>
                <c:pt idx="19">
                  <c:v>-3499.5</c:v>
                </c:pt>
                <c:pt idx="20">
                  <c:v>-3341</c:v>
                </c:pt>
                <c:pt idx="21">
                  <c:v>-3338</c:v>
                </c:pt>
                <c:pt idx="22">
                  <c:v>-3335</c:v>
                </c:pt>
                <c:pt idx="23">
                  <c:v>-2278</c:v>
                </c:pt>
                <c:pt idx="24">
                  <c:v>-12284</c:v>
                </c:pt>
                <c:pt idx="25">
                  <c:v>-2272</c:v>
                </c:pt>
                <c:pt idx="26">
                  <c:v>-2269</c:v>
                </c:pt>
                <c:pt idx="27">
                  <c:v>-1005</c:v>
                </c:pt>
                <c:pt idx="28">
                  <c:v>-21</c:v>
                </c:pt>
                <c:pt idx="29">
                  <c:v>-9</c:v>
                </c:pt>
                <c:pt idx="30">
                  <c:v>-6</c:v>
                </c:pt>
                <c:pt idx="31">
                  <c:v>12.5</c:v>
                </c:pt>
                <c:pt idx="32">
                  <c:v>76.5</c:v>
                </c:pt>
                <c:pt idx="33">
                  <c:v>101</c:v>
                </c:pt>
                <c:pt idx="34">
                  <c:v>1078.5</c:v>
                </c:pt>
                <c:pt idx="35">
                  <c:v>1081.5</c:v>
                </c:pt>
                <c:pt idx="36">
                  <c:v>1087.5</c:v>
                </c:pt>
                <c:pt idx="37">
                  <c:v>1103</c:v>
                </c:pt>
                <c:pt idx="38">
                  <c:v>1182</c:v>
                </c:pt>
                <c:pt idx="39">
                  <c:v>4310</c:v>
                </c:pt>
                <c:pt idx="40">
                  <c:v>7856</c:v>
                </c:pt>
                <c:pt idx="41">
                  <c:v>7856</c:v>
                </c:pt>
                <c:pt idx="42">
                  <c:v>8928</c:v>
                </c:pt>
                <c:pt idx="43">
                  <c:v>17724</c:v>
                </c:pt>
                <c:pt idx="44">
                  <c:v>18723</c:v>
                </c:pt>
                <c:pt idx="45">
                  <c:v>20091.5</c:v>
                </c:pt>
                <c:pt idx="46">
                  <c:v>20094</c:v>
                </c:pt>
                <c:pt idx="47">
                  <c:v>20100</c:v>
                </c:pt>
                <c:pt idx="48">
                  <c:v>20100.5</c:v>
                </c:pt>
                <c:pt idx="49">
                  <c:v>20198</c:v>
                </c:pt>
                <c:pt idx="50">
                  <c:v>20950</c:v>
                </c:pt>
                <c:pt idx="51">
                  <c:v>21462</c:v>
                </c:pt>
                <c:pt idx="52">
                  <c:v>22086</c:v>
                </c:pt>
                <c:pt idx="53">
                  <c:v>22287</c:v>
                </c:pt>
                <c:pt idx="54">
                  <c:v>22347</c:v>
                </c:pt>
                <c:pt idx="55">
                  <c:v>22350</c:v>
                </c:pt>
                <c:pt idx="56">
                  <c:v>22353</c:v>
                </c:pt>
                <c:pt idx="57">
                  <c:v>22356</c:v>
                </c:pt>
                <c:pt idx="58">
                  <c:v>22368.5</c:v>
                </c:pt>
                <c:pt idx="59">
                  <c:v>22371.5</c:v>
                </c:pt>
                <c:pt idx="60">
                  <c:v>23329</c:v>
                </c:pt>
                <c:pt idx="61">
                  <c:v>24346</c:v>
                </c:pt>
                <c:pt idx="62">
                  <c:v>25528</c:v>
                </c:pt>
                <c:pt idx="63">
                  <c:v>25726</c:v>
                </c:pt>
                <c:pt idx="64">
                  <c:v>26569.5</c:v>
                </c:pt>
                <c:pt idx="65">
                  <c:v>29120</c:v>
                </c:pt>
                <c:pt idx="66">
                  <c:v>31190</c:v>
                </c:pt>
                <c:pt idx="67">
                  <c:v>31190</c:v>
                </c:pt>
                <c:pt idx="68">
                  <c:v>31297.5</c:v>
                </c:pt>
                <c:pt idx="69">
                  <c:v>32464.5</c:v>
                </c:pt>
                <c:pt idx="70">
                  <c:v>35812</c:v>
                </c:pt>
                <c:pt idx="71">
                  <c:v>36823</c:v>
                </c:pt>
                <c:pt idx="72">
                  <c:v>37959</c:v>
                </c:pt>
                <c:pt idx="73">
                  <c:v>41340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C8-4A6D-8A0C-48E5D3F2680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-17931</c:v>
                </c:pt>
                <c:pt idx="1">
                  <c:v>-17879.5</c:v>
                </c:pt>
                <c:pt idx="2">
                  <c:v>-17858</c:v>
                </c:pt>
                <c:pt idx="3">
                  <c:v>-17763.5</c:v>
                </c:pt>
                <c:pt idx="4">
                  <c:v>-16710</c:v>
                </c:pt>
                <c:pt idx="5">
                  <c:v>-16704</c:v>
                </c:pt>
                <c:pt idx="6">
                  <c:v>-16697.5</c:v>
                </c:pt>
                <c:pt idx="7">
                  <c:v>-12284</c:v>
                </c:pt>
                <c:pt idx="8">
                  <c:v>-8942.5</c:v>
                </c:pt>
                <c:pt idx="9">
                  <c:v>-8930.5</c:v>
                </c:pt>
                <c:pt idx="10">
                  <c:v>-8863.5</c:v>
                </c:pt>
                <c:pt idx="11">
                  <c:v>-8851.5</c:v>
                </c:pt>
                <c:pt idx="12">
                  <c:v>-8833</c:v>
                </c:pt>
                <c:pt idx="13">
                  <c:v>-8763</c:v>
                </c:pt>
                <c:pt idx="14">
                  <c:v>-7843</c:v>
                </c:pt>
                <c:pt idx="15">
                  <c:v>-7837</c:v>
                </c:pt>
                <c:pt idx="16">
                  <c:v>-5610.5</c:v>
                </c:pt>
                <c:pt idx="17">
                  <c:v>-4535</c:v>
                </c:pt>
                <c:pt idx="18">
                  <c:v>-4178.5</c:v>
                </c:pt>
                <c:pt idx="19">
                  <c:v>-3499.5</c:v>
                </c:pt>
                <c:pt idx="20">
                  <c:v>-3341</c:v>
                </c:pt>
                <c:pt idx="21">
                  <c:v>-3338</c:v>
                </c:pt>
                <c:pt idx="22">
                  <c:v>-3335</c:v>
                </c:pt>
                <c:pt idx="23">
                  <c:v>-2278</c:v>
                </c:pt>
                <c:pt idx="24">
                  <c:v>-12284</c:v>
                </c:pt>
                <c:pt idx="25">
                  <c:v>-2272</c:v>
                </c:pt>
                <c:pt idx="26">
                  <c:v>-2269</c:v>
                </c:pt>
                <c:pt idx="27">
                  <c:v>-1005</c:v>
                </c:pt>
                <c:pt idx="28">
                  <c:v>-21</c:v>
                </c:pt>
                <c:pt idx="29">
                  <c:v>-9</c:v>
                </c:pt>
                <c:pt idx="30">
                  <c:v>-6</c:v>
                </c:pt>
                <c:pt idx="31">
                  <c:v>12.5</c:v>
                </c:pt>
                <c:pt idx="32">
                  <c:v>76.5</c:v>
                </c:pt>
                <c:pt idx="33">
                  <c:v>101</c:v>
                </c:pt>
                <c:pt idx="34">
                  <c:v>1078.5</c:v>
                </c:pt>
                <c:pt idx="35">
                  <c:v>1081.5</c:v>
                </c:pt>
                <c:pt idx="36">
                  <c:v>1087.5</c:v>
                </c:pt>
                <c:pt idx="37">
                  <c:v>1103</c:v>
                </c:pt>
                <c:pt idx="38">
                  <c:v>1182</c:v>
                </c:pt>
                <c:pt idx="39">
                  <c:v>4310</c:v>
                </c:pt>
                <c:pt idx="40">
                  <c:v>7856</c:v>
                </c:pt>
                <c:pt idx="41">
                  <c:v>7856</c:v>
                </c:pt>
                <c:pt idx="42">
                  <c:v>8928</c:v>
                </c:pt>
                <c:pt idx="43">
                  <c:v>17724</c:v>
                </c:pt>
                <c:pt idx="44">
                  <c:v>18723</c:v>
                </c:pt>
                <c:pt idx="45">
                  <c:v>20091.5</c:v>
                </c:pt>
                <c:pt idx="46">
                  <c:v>20094</c:v>
                </c:pt>
                <c:pt idx="47">
                  <c:v>20100</c:v>
                </c:pt>
                <c:pt idx="48">
                  <c:v>20100.5</c:v>
                </c:pt>
                <c:pt idx="49">
                  <c:v>20198</c:v>
                </c:pt>
                <c:pt idx="50">
                  <c:v>20950</c:v>
                </c:pt>
                <c:pt idx="51">
                  <c:v>21462</c:v>
                </c:pt>
                <c:pt idx="52">
                  <c:v>22086</c:v>
                </c:pt>
                <c:pt idx="53">
                  <c:v>22287</c:v>
                </c:pt>
                <c:pt idx="54">
                  <c:v>22347</c:v>
                </c:pt>
                <c:pt idx="55">
                  <c:v>22350</c:v>
                </c:pt>
                <c:pt idx="56">
                  <c:v>22353</c:v>
                </c:pt>
                <c:pt idx="57">
                  <c:v>22356</c:v>
                </c:pt>
                <c:pt idx="58">
                  <c:v>22368.5</c:v>
                </c:pt>
                <c:pt idx="59">
                  <c:v>22371.5</c:v>
                </c:pt>
                <c:pt idx="60">
                  <c:v>23329</c:v>
                </c:pt>
                <c:pt idx="61">
                  <c:v>24346</c:v>
                </c:pt>
                <c:pt idx="62">
                  <c:v>25528</c:v>
                </c:pt>
                <c:pt idx="63">
                  <c:v>25726</c:v>
                </c:pt>
                <c:pt idx="64">
                  <c:v>26569.5</c:v>
                </c:pt>
                <c:pt idx="65">
                  <c:v>29120</c:v>
                </c:pt>
                <c:pt idx="66">
                  <c:v>31190</c:v>
                </c:pt>
                <c:pt idx="67">
                  <c:v>31190</c:v>
                </c:pt>
                <c:pt idx="68">
                  <c:v>31297.5</c:v>
                </c:pt>
                <c:pt idx="69">
                  <c:v>32464.5</c:v>
                </c:pt>
                <c:pt idx="70">
                  <c:v>35812</c:v>
                </c:pt>
                <c:pt idx="71">
                  <c:v>36823</c:v>
                </c:pt>
                <c:pt idx="72">
                  <c:v>37959</c:v>
                </c:pt>
                <c:pt idx="73">
                  <c:v>41340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-0.25846566657808068</c:v>
                </c:pt>
                <c:pt idx="1">
                  <c:v>-0.25798285883929473</c:v>
                </c:pt>
                <c:pt idx="2">
                  <c:v>-0.25778129832698604</c:v>
                </c:pt>
                <c:pt idx="3">
                  <c:v>-0.25689536956358283</c:v>
                </c:pt>
                <c:pt idx="4">
                  <c:v>-0.24701890446045746</c:v>
                </c:pt>
                <c:pt idx="5">
                  <c:v>-0.24696265501516201</c:v>
                </c:pt>
                <c:pt idx="6">
                  <c:v>-0.24690171811609193</c:v>
                </c:pt>
                <c:pt idx="7">
                  <c:v>-0.20552556364751695</c:v>
                </c:pt>
                <c:pt idx="8">
                  <c:v>-0.17419931007172829</c:v>
                </c:pt>
                <c:pt idx="9">
                  <c:v>-0.17408681118113739</c:v>
                </c:pt>
                <c:pt idx="10">
                  <c:v>-0.17345869237533826</c:v>
                </c:pt>
                <c:pt idx="11">
                  <c:v>-0.17334619348474736</c:v>
                </c:pt>
                <c:pt idx="12">
                  <c:v>-0.17317275769508639</c:v>
                </c:pt>
                <c:pt idx="13">
                  <c:v>-0.17251651416663955</c:v>
                </c:pt>
                <c:pt idx="14">
                  <c:v>-0.16389159922133784</c:v>
                </c:pt>
                <c:pt idx="15">
                  <c:v>-0.16383534977604242</c:v>
                </c:pt>
                <c:pt idx="16">
                  <c:v>-0.14296211811765741</c:v>
                </c:pt>
                <c:pt idx="17">
                  <c:v>-0.13287940504844875</c:v>
                </c:pt>
                <c:pt idx="18">
                  <c:v>-0.12953725050714435</c:v>
                </c:pt>
                <c:pt idx="19">
                  <c:v>-0.12317168828120975</c:v>
                </c:pt>
                <c:pt idx="20">
                  <c:v>-0.12168576543465505</c:v>
                </c:pt>
                <c:pt idx="21">
                  <c:v>-0.12165764071200733</c:v>
                </c:pt>
                <c:pt idx="22">
                  <c:v>-0.12162951598935962</c:v>
                </c:pt>
                <c:pt idx="23">
                  <c:v>-0.1117202387098119</c:v>
                </c:pt>
                <c:pt idx="24">
                  <c:v>-0.20552556364751695</c:v>
                </c:pt>
                <c:pt idx="25">
                  <c:v>-0.11166398926451647</c:v>
                </c:pt>
                <c:pt idx="26">
                  <c:v>-0.11163586454186875</c:v>
                </c:pt>
                <c:pt idx="27">
                  <c:v>-9.9785981399628174E-2</c:v>
                </c:pt>
                <c:pt idx="28">
                  <c:v>-9.0561072371175069E-2</c:v>
                </c:pt>
                <c:pt idx="29">
                  <c:v>-9.0448573480584174E-2</c:v>
                </c:pt>
                <c:pt idx="30">
                  <c:v>-9.042044875793645E-2</c:v>
                </c:pt>
                <c:pt idx="31">
                  <c:v>-9.0247012968275489E-2</c:v>
                </c:pt>
                <c:pt idx="32">
                  <c:v>-8.9647018885124066E-2</c:v>
                </c:pt>
                <c:pt idx="33">
                  <c:v>-8.9417333650167671E-2</c:v>
                </c:pt>
                <c:pt idx="34">
                  <c:v>-8.0253361520784633E-2</c:v>
                </c:pt>
                <c:pt idx="35">
                  <c:v>-8.0225236798136909E-2</c:v>
                </c:pt>
                <c:pt idx="36">
                  <c:v>-8.0168987352841461E-2</c:v>
                </c:pt>
                <c:pt idx="37">
                  <c:v>-8.0023676285828224E-2</c:v>
                </c:pt>
                <c:pt idx="38">
                  <c:v>-7.9283058589438182E-2</c:v>
                </c:pt>
                <c:pt idx="39">
                  <c:v>-4.9958347775412464E-2</c:v>
                </c:pt>
                <c:pt idx="40">
                  <c:v>-1.6714925605804024E-2</c:v>
                </c:pt>
                <c:pt idx="41">
                  <c:v>-1.6714925605804024E-2</c:v>
                </c:pt>
                <c:pt idx="42">
                  <c:v>-6.6650247130177059E-3</c:v>
                </c:pt>
                <c:pt idx="43">
                  <c:v>7.5796662090105771E-2</c:v>
                </c:pt>
                <c:pt idx="44">
                  <c:v>8.5162194731797508E-2</c:v>
                </c:pt>
                <c:pt idx="45">
                  <c:v>9.7991755712933754E-2</c:v>
                </c:pt>
                <c:pt idx="46">
                  <c:v>9.8015192981806859E-2</c:v>
                </c:pt>
                <c:pt idx="47">
                  <c:v>9.8071442427102307E-2</c:v>
                </c:pt>
                <c:pt idx="48">
                  <c:v>9.8076129880876911E-2</c:v>
                </c:pt>
                <c:pt idx="49">
                  <c:v>9.8990183366927914E-2</c:v>
                </c:pt>
                <c:pt idx="50">
                  <c:v>0.10604011384395712</c:v>
                </c:pt>
                <c:pt idx="51">
                  <c:v>0.1108400665091685</c:v>
                </c:pt>
                <c:pt idx="52">
                  <c:v>0.11669000881989486</c:v>
                </c:pt>
                <c:pt idx="53">
                  <c:v>0.11857436523729228</c:v>
                </c:pt>
                <c:pt idx="54">
                  <c:v>0.11913685969024673</c:v>
                </c:pt>
                <c:pt idx="55">
                  <c:v>0.11916498441289447</c:v>
                </c:pt>
                <c:pt idx="56">
                  <c:v>0.11919310913554218</c:v>
                </c:pt>
                <c:pt idx="57">
                  <c:v>0.11922123385818992</c:v>
                </c:pt>
                <c:pt idx="58">
                  <c:v>0.11933842020255542</c:v>
                </c:pt>
                <c:pt idx="59">
                  <c:v>0.11936654492520316</c:v>
                </c:pt>
                <c:pt idx="60">
                  <c:v>0.12834301890360136</c:v>
                </c:pt>
                <c:pt idx="61">
                  <c:v>0.13787729988117942</c:v>
                </c:pt>
                <c:pt idx="62">
                  <c:v>0.14895844060438224</c:v>
                </c:pt>
                <c:pt idx="63">
                  <c:v>0.15081467229913195</c:v>
                </c:pt>
                <c:pt idx="64">
                  <c:v>0.15872240681691671</c:v>
                </c:pt>
                <c:pt idx="65">
                  <c:v>0.18263310852125575</c:v>
                </c:pt>
                <c:pt idx="66">
                  <c:v>0.20203916714818454</c:v>
                </c:pt>
                <c:pt idx="67">
                  <c:v>0.20203916714818454</c:v>
                </c:pt>
                <c:pt idx="68">
                  <c:v>0.20304696970972796</c:v>
                </c:pt>
                <c:pt idx="69">
                  <c:v>0.21398748681969215</c:v>
                </c:pt>
                <c:pt idx="70">
                  <c:v>0.24536998984077629</c:v>
                </c:pt>
                <c:pt idx="71">
                  <c:v>0.2548480213730589</c:v>
                </c:pt>
                <c:pt idx="72">
                  <c:v>0.26549791634899661</c:v>
                </c:pt>
                <c:pt idx="73">
                  <c:v>0.29719447877298033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C8-4A6D-8A0C-48E5D3F26809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Active!$V$2:$V$25</c:f>
              <c:numCache>
                <c:formatCode>General</c:formatCode>
                <c:ptCount val="24"/>
                <c:pt idx="0">
                  <c:v>-20000</c:v>
                </c:pt>
                <c:pt idx="1">
                  <c:v>-15000</c:v>
                </c:pt>
                <c:pt idx="2">
                  <c:v>-10000</c:v>
                </c:pt>
                <c:pt idx="3">
                  <c:v>-5000</c:v>
                </c:pt>
                <c:pt idx="4">
                  <c:v>0</c:v>
                </c:pt>
                <c:pt idx="5">
                  <c:v>5000</c:v>
                </c:pt>
                <c:pt idx="6">
                  <c:v>10000</c:v>
                </c:pt>
                <c:pt idx="7">
                  <c:v>15000</c:v>
                </c:pt>
                <c:pt idx="8">
                  <c:v>20000</c:v>
                </c:pt>
                <c:pt idx="9">
                  <c:v>25000</c:v>
                </c:pt>
                <c:pt idx="10">
                  <c:v>30000</c:v>
                </c:pt>
                <c:pt idx="11">
                  <c:v>35000</c:v>
                </c:pt>
                <c:pt idx="12">
                  <c:v>40000</c:v>
                </c:pt>
                <c:pt idx="13">
                  <c:v>45000</c:v>
                </c:pt>
              </c:numCache>
            </c:numRef>
          </c:xVal>
          <c:yVal>
            <c:numRef>
              <c:f>Active!$W$2:$W$25</c:f>
              <c:numCache>
                <c:formatCode>General</c:formatCode>
                <c:ptCount val="24"/>
                <c:pt idx="0">
                  <c:v>-2.3122562722339909E-3</c:v>
                </c:pt>
                <c:pt idx="1">
                  <c:v>-1.1313993168986288E-2</c:v>
                </c:pt>
                <c:pt idx="2">
                  <c:v>-1.3986105836766318E-2</c:v>
                </c:pt>
                <c:pt idx="3">
                  <c:v>-1.0328594275574072E-2</c:v>
                </c:pt>
                <c:pt idx="4">
                  <c:v>-3.4145848540955808E-4</c:v>
                </c:pt>
                <c:pt idx="5">
                  <c:v>1.5975301533727226E-2</c:v>
                </c:pt>
                <c:pt idx="6">
                  <c:v>3.8621685781836279E-2</c:v>
                </c:pt>
                <c:pt idx="7">
                  <c:v>6.7597694258917609E-2</c:v>
                </c:pt>
                <c:pt idx="8">
                  <c:v>0.1029033269649712</c:v>
                </c:pt>
                <c:pt idx="9">
                  <c:v>0.14453858389999708</c:v>
                </c:pt>
                <c:pt idx="10">
                  <c:v>0.19250346506399521</c:v>
                </c:pt>
                <c:pt idx="11">
                  <c:v>0.24679797045696561</c:v>
                </c:pt>
                <c:pt idx="12">
                  <c:v>0.3074221000789083</c:v>
                </c:pt>
                <c:pt idx="13">
                  <c:v>0.3743758539298232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8C8-4A6D-8A0C-48E5D3F26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106776"/>
        <c:axId val="1"/>
      </c:scatterChart>
      <c:valAx>
        <c:axId val="520106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1979375628306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9306759098786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106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84766895472553"/>
          <c:y val="0.92024539877300615"/>
          <c:w val="0.8076263777253146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485775</xdr:colOff>
      <xdr:row>18</xdr:row>
      <xdr:rowOff>123824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2B274CF-F168-3091-DCBD-FE1E69D94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0.pdf" TargetMode="External"/><Relationship Id="rId13" Type="http://schemas.openxmlformats.org/officeDocument/2006/relationships/hyperlink" Target="http://www.bav-astro.de/sfs/BAVM_link.php?BAVMnr=186" TargetMode="External"/><Relationship Id="rId3" Type="http://schemas.openxmlformats.org/officeDocument/2006/relationships/hyperlink" Target="http://www.konkoly.hu/cgi-bin/IBVS?5263" TargetMode="External"/><Relationship Id="rId7" Type="http://schemas.openxmlformats.org/officeDocument/2006/relationships/hyperlink" Target="http://vsolj.cetus-net.org/no40.pdf" TargetMode="External"/><Relationship Id="rId12" Type="http://schemas.openxmlformats.org/officeDocument/2006/relationships/hyperlink" Target="http://www.konkoly.hu/cgi-bin/IBVS?5741" TargetMode="External"/><Relationship Id="rId17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4888" TargetMode="External"/><Relationship Id="rId16" Type="http://schemas.openxmlformats.org/officeDocument/2006/relationships/hyperlink" Target="http://www.konkoly.hu/cgi-bin/IBVS?596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solj.cetus-net.org/no40.pdf" TargetMode="External"/><Relationship Id="rId11" Type="http://schemas.openxmlformats.org/officeDocument/2006/relationships/hyperlink" Target="http://var.astro.cz/oejv/issues/oejv0003.pdf" TargetMode="External"/><Relationship Id="rId5" Type="http://schemas.openxmlformats.org/officeDocument/2006/relationships/hyperlink" Target="http://vsolj.cetus-net.org/no40.pdf" TargetMode="External"/><Relationship Id="rId15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var.astro.cz/oejv/issues/oejv0003.pdf" TargetMode="External"/><Relationship Id="rId4" Type="http://schemas.openxmlformats.org/officeDocument/2006/relationships/hyperlink" Target="http://vsolj.cetus-net.org/no40.pdf" TargetMode="External"/><Relationship Id="rId9" Type="http://schemas.openxmlformats.org/officeDocument/2006/relationships/hyperlink" Target="http://vsolj.cetus-net.org/no40.pdf" TargetMode="External"/><Relationship Id="rId14" Type="http://schemas.openxmlformats.org/officeDocument/2006/relationships/hyperlink" Target="http://var.astro.cz/oejv/issues/oejv01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2"/>
  <sheetViews>
    <sheetView tabSelected="1" workbookViewId="0">
      <pane xSplit="14" ySplit="21" topLeftCell="O79" activePane="bottomRight" state="frozen"/>
      <selection pane="topRight" activeCell="O1" sqref="O1"/>
      <selection pane="bottomLeft" activeCell="A22" sqref="A22"/>
      <selection pane="bottomRight" activeCell="F3" sqref="F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425781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34</v>
      </c>
      <c r="V1" s="3" t="s">
        <v>10</v>
      </c>
      <c r="W1" s="5" t="s">
        <v>21</v>
      </c>
    </row>
    <row r="2" spans="1:23" x14ac:dyDescent="0.2">
      <c r="A2" t="s">
        <v>23</v>
      </c>
      <c r="B2" s="11" t="s">
        <v>32</v>
      </c>
      <c r="V2">
        <v>-20000</v>
      </c>
      <c r="W2">
        <f>+D$11+D$12*V2+D$13*V2^2</f>
        <v>-2.3122562722339909E-3</v>
      </c>
    </row>
    <row r="3" spans="1:23" ht="13.5" thickBot="1" x14ac:dyDescent="0.25">
      <c r="V3">
        <v>-15000</v>
      </c>
      <c r="W3">
        <f t="shared" ref="W3:W15" si="0">+D$11+D$12*V3+D$13*V3^2</f>
        <v>-1.1313993168986288E-2</v>
      </c>
    </row>
    <row r="4" spans="1:23" ht="13.5" thickBot="1" x14ac:dyDescent="0.25">
      <c r="A4" s="4" t="s">
        <v>27</v>
      </c>
      <c r="C4" s="7">
        <v>45233.292000000001</v>
      </c>
      <c r="D4" s="8">
        <v>0.32740970000000003</v>
      </c>
      <c r="V4">
        <v>-10000</v>
      </c>
      <c r="W4">
        <f t="shared" si="0"/>
        <v>-1.3986105836766318E-2</v>
      </c>
    </row>
    <row r="5" spans="1:23" x14ac:dyDescent="0.2">
      <c r="A5" s="16" t="s">
        <v>35</v>
      </c>
      <c r="B5" s="10"/>
      <c r="C5" s="17">
        <v>-9.5</v>
      </c>
      <c r="D5" s="10" t="s">
        <v>36</v>
      </c>
      <c r="V5">
        <v>-5000</v>
      </c>
      <c r="W5">
        <f t="shared" si="0"/>
        <v>-1.0328594275574072E-2</v>
      </c>
    </row>
    <row r="6" spans="1:23" x14ac:dyDescent="0.2">
      <c r="A6" s="4" t="s">
        <v>2</v>
      </c>
      <c r="V6">
        <v>0</v>
      </c>
      <c r="W6">
        <f t="shared" si="0"/>
        <v>-3.4145848540955808E-4</v>
      </c>
    </row>
    <row r="7" spans="1:23" x14ac:dyDescent="0.2">
      <c r="A7" t="s">
        <v>3</v>
      </c>
      <c r="C7">
        <f>+C4</f>
        <v>45233.292000000001</v>
      </c>
      <c r="V7">
        <v>5000</v>
      </c>
      <c r="W7">
        <f t="shared" si="0"/>
        <v>1.5975301533727226E-2</v>
      </c>
    </row>
    <row r="8" spans="1:23" x14ac:dyDescent="0.2">
      <c r="A8" t="s">
        <v>4</v>
      </c>
      <c r="C8">
        <f>+D4</f>
        <v>0.32740970000000003</v>
      </c>
      <c r="V8">
        <v>10000</v>
      </c>
      <c r="W8">
        <f t="shared" si="0"/>
        <v>3.8621685781836279E-2</v>
      </c>
    </row>
    <row r="9" spans="1:23" x14ac:dyDescent="0.2">
      <c r="A9" s="27" t="s">
        <v>43</v>
      </c>
      <c r="B9" s="28">
        <v>65</v>
      </c>
      <c r="C9" s="19" t="str">
        <f>"F"&amp;B9</f>
        <v>F65</v>
      </c>
      <c r="D9" s="9" t="str">
        <f>"G"&amp;B9</f>
        <v>G65</v>
      </c>
      <c r="V9">
        <v>15000</v>
      </c>
      <c r="W9">
        <f t="shared" si="0"/>
        <v>6.7597694258917609E-2</v>
      </c>
    </row>
    <row r="10" spans="1:23" ht="13.5" thickBot="1" x14ac:dyDescent="0.25">
      <c r="A10" s="10"/>
      <c r="B10" s="10"/>
      <c r="C10" s="3" t="s">
        <v>19</v>
      </c>
      <c r="D10" s="3" t="s">
        <v>20</v>
      </c>
      <c r="E10" s="10"/>
      <c r="V10">
        <v>20000</v>
      </c>
      <c r="W10">
        <f t="shared" si="0"/>
        <v>0.1029033269649712</v>
      </c>
    </row>
    <row r="11" spans="1:23" x14ac:dyDescent="0.2">
      <c r="A11" s="10" t="s">
        <v>15</v>
      </c>
      <c r="B11" s="10"/>
      <c r="C11" s="18">
        <f ca="1">INTERCEPT(INDIRECT($D$9):G992,INDIRECT($C$9):F992)</f>
        <v>-9.0364199312641003E-2</v>
      </c>
      <c r="D11" s="21">
        <f>+E11*F11</f>
        <v>-3.4145848540955808E-4</v>
      </c>
      <c r="E11" s="53">
        <v>-3.4145848540955808E-4</v>
      </c>
      <c r="F11">
        <v>1</v>
      </c>
      <c r="V11">
        <v>25000</v>
      </c>
      <c r="W11">
        <f t="shared" si="0"/>
        <v>0.14453858389999708</v>
      </c>
    </row>
    <row r="12" spans="1:23" x14ac:dyDescent="0.2">
      <c r="A12" s="10" t="s">
        <v>16</v>
      </c>
      <c r="B12" s="10"/>
      <c r="C12" s="18">
        <f ca="1">SLOPE(INDIRECT($D$9):G992,INDIRECT($C$9):F992)</f>
        <v>9.3749075492409605E-6</v>
      </c>
      <c r="D12" s="21">
        <f>+E12*F12</f>
        <v>2.63038958093013E-6</v>
      </c>
      <c r="E12" s="54">
        <v>2.6303895809301297E-2</v>
      </c>
      <c r="F12" s="52">
        <v>1E-4</v>
      </c>
      <c r="V12">
        <v>30000</v>
      </c>
      <c r="W12">
        <f t="shared" si="0"/>
        <v>0.19250346506399521</v>
      </c>
    </row>
    <row r="13" spans="1:23" ht="13.5" thickBot="1" x14ac:dyDescent="0.25">
      <c r="A13" s="10" t="s">
        <v>18</v>
      </c>
      <c r="B13" s="10"/>
      <c r="C13" s="2" t="s">
        <v>13</v>
      </c>
      <c r="D13" s="21">
        <f>+E13*F13</f>
        <v>1.2659248457944541E-10</v>
      </c>
      <c r="E13" s="55">
        <v>1.2659248457944541E-2</v>
      </c>
      <c r="F13" s="52">
        <v>1E-8</v>
      </c>
      <c r="V13">
        <v>35000</v>
      </c>
      <c r="W13">
        <f t="shared" si="0"/>
        <v>0.24679797045696561</v>
      </c>
    </row>
    <row r="14" spans="1:23" x14ac:dyDescent="0.2">
      <c r="A14" s="10"/>
      <c r="B14" s="10"/>
      <c r="C14" s="10"/>
      <c r="E14">
        <f>SUM(T21:T950)</f>
        <v>3.88269131322549E-3</v>
      </c>
      <c r="V14">
        <v>40000</v>
      </c>
      <c r="W14">
        <f t="shared" si="0"/>
        <v>0.3074221000789083</v>
      </c>
    </row>
    <row r="15" spans="1:23" x14ac:dyDescent="0.2">
      <c r="A15" s="20" t="s">
        <v>17</v>
      </c>
      <c r="B15" s="10"/>
      <c r="C15" s="21">
        <f ca="1">(C7+C11)+(C8+C12)*INT(MAX(F21:F3533))</f>
        <v>58768.706192478778</v>
      </c>
      <c r="D15" s="9">
        <f>+C7+INT(MAX(F21:F1588))*C8+D11+D12*INT(MAX(F21:F4023))+D13*INT(MAX(F21:F4050)^2)</f>
        <v>58768.733742845929</v>
      </c>
      <c r="E15" s="22" t="s">
        <v>44</v>
      </c>
      <c r="F15" s="56">
        <v>1</v>
      </c>
      <c r="V15">
        <v>45000</v>
      </c>
      <c r="W15">
        <f t="shared" si="0"/>
        <v>0.3743758539298232</v>
      </c>
    </row>
    <row r="16" spans="1:23" x14ac:dyDescent="0.2">
      <c r="A16" s="24" t="s">
        <v>5</v>
      </c>
      <c r="B16" s="10"/>
      <c r="C16" s="25">
        <f ca="1">+C8+C12</f>
        <v>0.32741907490754929</v>
      </c>
      <c r="D16" s="9">
        <f>+C8+D12+2*D13*MAX(F21:F896)</f>
        <v>0.32742279705620597</v>
      </c>
      <c r="E16" s="22" t="s">
        <v>37</v>
      </c>
      <c r="F16" s="23">
        <f ca="1">NOW()+15018.5+$C$5/24</f>
        <v>60320.803754282402</v>
      </c>
    </row>
    <row r="17" spans="1:21" ht="13.5" thickBot="1" x14ac:dyDescent="0.25">
      <c r="A17" s="22" t="s">
        <v>31</v>
      </c>
      <c r="B17" s="10"/>
      <c r="C17" s="10">
        <f>COUNT(C21:C2191)</f>
        <v>74</v>
      </c>
      <c r="E17" s="22" t="s">
        <v>45</v>
      </c>
      <c r="F17" s="23">
        <f ca="1">ROUND(2*(F16-$C$7)/$C$8,0)/2+F15</f>
        <v>46082.5</v>
      </c>
    </row>
    <row r="18" spans="1:21" ht="14.25" thickTop="1" thickBot="1" x14ac:dyDescent="0.25">
      <c r="A18" s="4" t="s">
        <v>309</v>
      </c>
      <c r="C18" s="62">
        <f ca="1">+C15</f>
        <v>58768.706192478778</v>
      </c>
      <c r="D18" s="63">
        <f ca="1">C16</f>
        <v>0.32741907490754929</v>
      </c>
      <c r="E18" s="22" t="s">
        <v>38</v>
      </c>
      <c r="F18" s="9">
        <f ca="1">ROUND(2*(F16-$C$15)/$C$16,0)/2+F15</f>
        <v>4741.5</v>
      </c>
    </row>
    <row r="19" spans="1:21" ht="13.5" thickBot="1" x14ac:dyDescent="0.25">
      <c r="A19" s="4" t="s">
        <v>310</v>
      </c>
      <c r="C19" s="7">
        <f>+D15</f>
        <v>58768.733742845929</v>
      </c>
      <c r="D19" s="8">
        <f>+D16</f>
        <v>0.32742279705620597</v>
      </c>
      <c r="E19" s="22" t="s">
        <v>39</v>
      </c>
      <c r="F19" s="26">
        <f ca="1">+$C$15+$C$16*F18-15018.5-$C$5/24</f>
        <v>45303.059569486257</v>
      </c>
    </row>
    <row r="20" spans="1:21" ht="1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59</v>
      </c>
      <c r="I20" s="6" t="s">
        <v>62</v>
      </c>
      <c r="J20" s="6" t="s">
        <v>56</v>
      </c>
      <c r="K20" s="6" t="s">
        <v>54</v>
      </c>
      <c r="L20" s="6" t="s">
        <v>302</v>
      </c>
      <c r="M20" s="6" t="s">
        <v>303</v>
      </c>
      <c r="N20" s="6" t="s">
        <v>304</v>
      </c>
      <c r="O20" s="6" t="s">
        <v>22</v>
      </c>
      <c r="P20" s="57" t="s">
        <v>21</v>
      </c>
      <c r="Q20" s="3" t="s">
        <v>14</v>
      </c>
      <c r="R20" s="58" t="s">
        <v>305</v>
      </c>
      <c r="S20" s="5" t="s">
        <v>306</v>
      </c>
      <c r="T20" s="58" t="s">
        <v>307</v>
      </c>
      <c r="U20" s="59" t="s">
        <v>308</v>
      </c>
    </row>
    <row r="21" spans="1:21" x14ac:dyDescent="0.2">
      <c r="A21" s="12" t="s">
        <v>68</v>
      </c>
      <c r="B21" s="14" t="s">
        <v>41</v>
      </c>
      <c r="C21" s="15">
        <v>39362.485999999997</v>
      </c>
      <c r="D21" s="15" t="s">
        <v>62</v>
      </c>
      <c r="E21" s="32">
        <f t="shared" ref="E21:E52" si="1">+(C21-C$7)/C$8</f>
        <v>-17931.069238327404</v>
      </c>
      <c r="F21" s="32">
        <f>ROUND(2*E21,0)/2</f>
        <v>-17931</v>
      </c>
      <c r="G21" s="29">
        <f t="shared" ref="G21:G52" si="2">+C21-(C$7+F21*C$8)</f>
        <v>-2.2669300007692073E-2</v>
      </c>
      <c r="H21" s="29"/>
      <c r="I21" s="29">
        <f t="shared" ref="I21:I44" si="3">+G21</f>
        <v>-2.2669300007692073E-2</v>
      </c>
      <c r="K21" s="29"/>
      <c r="L21" s="29"/>
      <c r="M21" s="29"/>
      <c r="N21" s="29"/>
      <c r="O21" s="29">
        <f t="shared" ref="O21:O52" ca="1" si="4">+C$11+C$12*$F21</f>
        <v>-0.25846566657808068</v>
      </c>
      <c r="P21" s="60">
        <f>+D$11+D$12*F21+D$13*F21^2</f>
        <v>-6.8048620822036623E-3</v>
      </c>
      <c r="Q21" s="31">
        <f t="shared" ref="Q21:Q52" si="5">+C21-15018.5</f>
        <v>24343.985999999997</v>
      </c>
      <c r="R21" s="29">
        <f>+(P21-G21)^2</f>
        <v>2.5168039069167503E-4</v>
      </c>
      <c r="S21" s="29">
        <v>0.1</v>
      </c>
      <c r="T21" s="29">
        <f>+S21*R21</f>
        <v>2.5168039069167505E-5</v>
      </c>
      <c r="U21" s="61"/>
    </row>
    <row r="22" spans="1:21" x14ac:dyDescent="0.2">
      <c r="A22" s="12" t="s">
        <v>68</v>
      </c>
      <c r="B22" s="2" t="s">
        <v>30</v>
      </c>
      <c r="C22" s="39">
        <v>39379.372000000003</v>
      </c>
      <c r="D22" s="39" t="s">
        <v>62</v>
      </c>
      <c r="E22" s="32">
        <f t="shared" si="1"/>
        <v>-17879.494712587923</v>
      </c>
      <c r="F22" s="32">
        <f t="shared" ref="F22:F44" si="6">ROUND(2*E22,0)/2</f>
        <v>-17879.5</v>
      </c>
      <c r="G22" s="29">
        <f t="shared" si="2"/>
        <v>1.7311500050709583E-3</v>
      </c>
      <c r="H22" s="29"/>
      <c r="I22" s="29">
        <f t="shared" si="3"/>
        <v>1.7311500050709583E-3</v>
      </c>
      <c r="K22" s="29"/>
      <c r="L22" s="29"/>
      <c r="M22" s="29"/>
      <c r="N22" s="29"/>
      <c r="O22" s="29">
        <f t="shared" ca="1" si="4"/>
        <v>-0.25798285883929473</v>
      </c>
      <c r="P22" s="60">
        <f>+D$11+D$12*F22+D$13*F22^2</f>
        <v>-6.9028640374909217E-3</v>
      </c>
      <c r="Q22" s="31">
        <f t="shared" si="5"/>
        <v>24360.872000000003</v>
      </c>
      <c r="R22" s="29">
        <f t="shared" ref="R22:R85" si="7">+(P22-G22)^2</f>
        <v>7.4546198487155735E-5</v>
      </c>
      <c r="S22" s="29">
        <v>0.1</v>
      </c>
      <c r="T22" s="29">
        <f t="shared" ref="T22:T85" si="8">+S22*R22</f>
        <v>7.454619848715574E-6</v>
      </c>
    </row>
    <row r="23" spans="1:21" x14ac:dyDescent="0.2">
      <c r="A23" s="12" t="s">
        <v>68</v>
      </c>
      <c r="B23" s="2" t="s">
        <v>41</v>
      </c>
      <c r="C23" s="39">
        <v>39386.415000000001</v>
      </c>
      <c r="D23" s="39" t="s">
        <v>62</v>
      </c>
      <c r="E23" s="32">
        <f t="shared" si="1"/>
        <v>-17857.983437876152</v>
      </c>
      <c r="F23" s="32">
        <f t="shared" si="6"/>
        <v>-17858</v>
      </c>
      <c r="G23" s="29">
        <f t="shared" si="2"/>
        <v>5.422599999292288E-3</v>
      </c>
      <c r="H23" s="29"/>
      <c r="I23" s="29">
        <f t="shared" si="3"/>
        <v>5.422599999292288E-3</v>
      </c>
      <c r="K23" s="29"/>
      <c r="L23" s="29"/>
      <c r="M23" s="29"/>
      <c r="N23" s="29"/>
      <c r="O23" s="29">
        <f t="shared" ca="1" si="4"/>
        <v>-0.25778129832698604</v>
      </c>
      <c r="P23" s="60">
        <f t="shared" ref="P23:P86" si="9">+D$11+D$12*F23+D$13*F23^2</f>
        <v>-6.94357878823057E-3</v>
      </c>
      <c r="Q23" s="31">
        <f t="shared" si="5"/>
        <v>24367.915000000001</v>
      </c>
      <c r="R23" s="29">
        <f t="shared" si="7"/>
        <v>1.529223778049803E-4</v>
      </c>
      <c r="S23" s="29">
        <v>0.1</v>
      </c>
      <c r="T23" s="29">
        <f t="shared" si="8"/>
        <v>1.5292237780498032E-5</v>
      </c>
    </row>
    <row r="24" spans="1:21" x14ac:dyDescent="0.2">
      <c r="A24" s="12" t="s">
        <v>68</v>
      </c>
      <c r="B24" s="2" t="s">
        <v>30</v>
      </c>
      <c r="C24" s="39">
        <v>39417.373</v>
      </c>
      <c r="D24" s="39" t="s">
        <v>62</v>
      </c>
      <c r="E24" s="32">
        <f t="shared" si="1"/>
        <v>-17763.429122594724</v>
      </c>
      <c r="F24" s="32">
        <f t="shared" si="6"/>
        <v>-17763.5</v>
      </c>
      <c r="G24" s="29">
        <f t="shared" si="2"/>
        <v>2.3205949997645803E-2</v>
      </c>
      <c r="H24" s="29"/>
      <c r="I24" s="29">
        <f t="shared" si="3"/>
        <v>2.3205949997645803E-2</v>
      </c>
      <c r="K24" s="29"/>
      <c r="L24" s="29"/>
      <c r="M24" s="29"/>
      <c r="N24" s="29"/>
      <c r="O24" s="29">
        <f t="shared" ca="1" si="4"/>
        <v>-0.25689536956358283</v>
      </c>
      <c r="P24" s="60">
        <f t="shared" si="9"/>
        <v>-7.1211466137353907E-3</v>
      </c>
      <c r="Q24" s="31">
        <f t="shared" si="5"/>
        <v>24398.873</v>
      </c>
      <c r="R24" s="29">
        <f t="shared" si="7"/>
        <v>9.1973278887604872E-4</v>
      </c>
      <c r="S24" s="29">
        <v>0.1</v>
      </c>
      <c r="T24" s="29">
        <f t="shared" si="8"/>
        <v>9.1973278887604872E-5</v>
      </c>
    </row>
    <row r="25" spans="1:21" x14ac:dyDescent="0.2">
      <c r="A25" s="12" t="s">
        <v>68</v>
      </c>
      <c r="B25" s="2" t="s">
        <v>41</v>
      </c>
      <c r="C25" s="39">
        <v>39762.277999999998</v>
      </c>
      <c r="D25" s="39" t="s">
        <v>62</v>
      </c>
      <c r="E25" s="32">
        <f t="shared" si="1"/>
        <v>-16709.993625723375</v>
      </c>
      <c r="F25" s="32">
        <f t="shared" si="6"/>
        <v>-16710</v>
      </c>
      <c r="G25" s="29">
        <f t="shared" si="2"/>
        <v>2.0870000007562339E-3</v>
      </c>
      <c r="H25" s="29"/>
      <c r="I25" s="29">
        <f t="shared" si="3"/>
        <v>2.0870000007562339E-3</v>
      </c>
      <c r="K25" s="29"/>
      <c r="L25" s="29"/>
      <c r="M25" s="29"/>
      <c r="N25" s="29"/>
      <c r="O25" s="29">
        <f t="shared" ca="1" si="4"/>
        <v>-0.24701890446045746</v>
      </c>
      <c r="P25" s="60">
        <f t="shared" si="9"/>
        <v>-8.9475958092925106E-3</v>
      </c>
      <c r="Q25" s="31">
        <f t="shared" si="5"/>
        <v>24743.777999999998</v>
      </c>
      <c r="R25" s="29">
        <f t="shared" si="7"/>
        <v>1.2176230469114531E-4</v>
      </c>
      <c r="S25" s="29">
        <v>0.1</v>
      </c>
      <c r="T25" s="29">
        <f t="shared" si="8"/>
        <v>1.2176230469114531E-5</v>
      </c>
    </row>
    <row r="26" spans="1:21" x14ac:dyDescent="0.2">
      <c r="A26" s="12" t="s">
        <v>68</v>
      </c>
      <c r="B26" s="2" t="s">
        <v>41</v>
      </c>
      <c r="C26" s="39">
        <v>39764.237000000001</v>
      </c>
      <c r="D26" s="39" t="s">
        <v>62</v>
      </c>
      <c r="E26" s="32">
        <f t="shared" si="1"/>
        <v>-16704.010296579483</v>
      </c>
      <c r="F26" s="32">
        <f t="shared" si="6"/>
        <v>-16704</v>
      </c>
      <c r="G26" s="29">
        <f t="shared" si="2"/>
        <v>-3.3712000004015863E-3</v>
      </c>
      <c r="H26" s="29"/>
      <c r="I26" s="29">
        <f t="shared" si="3"/>
        <v>-3.3712000004015863E-3</v>
      </c>
      <c r="K26" s="29"/>
      <c r="L26" s="29"/>
      <c r="M26" s="29"/>
      <c r="N26" s="29"/>
      <c r="O26" s="29">
        <f t="shared" ca="1" si="4"/>
        <v>-0.24696265501516201</v>
      </c>
      <c r="P26" s="60">
        <f t="shared" si="9"/>
        <v>-8.9571932394853504E-3</v>
      </c>
      <c r="Q26" s="31">
        <f t="shared" si="5"/>
        <v>24745.737000000001</v>
      </c>
      <c r="R26" s="29">
        <f t="shared" si="7"/>
        <v>3.1203320467089523E-5</v>
      </c>
      <c r="S26" s="29">
        <v>0.1</v>
      </c>
      <c r="T26" s="29">
        <f t="shared" si="8"/>
        <v>3.1203320467089526E-6</v>
      </c>
    </row>
    <row r="27" spans="1:21" x14ac:dyDescent="0.2">
      <c r="A27" s="12" t="s">
        <v>68</v>
      </c>
      <c r="B27" s="2" t="s">
        <v>30</v>
      </c>
      <c r="C27" s="39">
        <v>39766.345000000001</v>
      </c>
      <c r="D27" s="39" t="s">
        <v>62</v>
      </c>
      <c r="E27" s="32">
        <f t="shared" si="1"/>
        <v>-16697.571880124502</v>
      </c>
      <c r="F27" s="32">
        <f t="shared" si="6"/>
        <v>-16697.5</v>
      </c>
      <c r="G27" s="29">
        <f t="shared" si="2"/>
        <v>-2.3534250001830515E-2</v>
      </c>
      <c r="H27" s="29"/>
      <c r="I27" s="29">
        <f t="shared" si="3"/>
        <v>-2.3534250001830515E-2</v>
      </c>
      <c r="K27" s="29"/>
      <c r="L27" s="29"/>
      <c r="M27" s="29"/>
      <c r="N27" s="29"/>
      <c r="O27" s="29">
        <f t="shared" ca="1" si="4"/>
        <v>-0.24690171811609193</v>
      </c>
      <c r="P27" s="60">
        <f t="shared" si="9"/>
        <v>-8.9675801698882243E-3</v>
      </c>
      <c r="Q27" s="31">
        <f t="shared" si="5"/>
        <v>24747.845000000001</v>
      </c>
      <c r="R27" s="29">
        <f t="shared" si="7"/>
        <v>2.1218786999281763E-4</v>
      </c>
      <c r="S27" s="29">
        <v>0.1</v>
      </c>
      <c r="T27" s="29">
        <f t="shared" si="8"/>
        <v>2.1218786999281765E-5</v>
      </c>
    </row>
    <row r="28" spans="1:21" x14ac:dyDescent="0.2">
      <c r="A28" s="12" t="s">
        <v>68</v>
      </c>
      <c r="B28" s="2" t="s">
        <v>41</v>
      </c>
      <c r="C28" s="39">
        <v>41211.362000000001</v>
      </c>
      <c r="D28" s="39" t="s">
        <v>62</v>
      </c>
      <c r="E28" s="32">
        <f t="shared" si="1"/>
        <v>-12284.089322949198</v>
      </c>
      <c r="F28" s="32">
        <f t="shared" si="6"/>
        <v>-12284</v>
      </c>
      <c r="G28" s="29">
        <f t="shared" si="2"/>
        <v>-2.9245199999422766E-2</v>
      </c>
      <c r="H28" s="29"/>
      <c r="I28" s="29">
        <f t="shared" si="3"/>
        <v>-2.9245199999422766E-2</v>
      </c>
      <c r="K28" s="29"/>
      <c r="L28" s="29"/>
      <c r="M28" s="29"/>
      <c r="N28" s="29"/>
      <c r="O28" s="29">
        <f t="shared" ca="1" si="4"/>
        <v>-0.20552556364751695</v>
      </c>
      <c r="P28" s="60">
        <f t="shared" si="9"/>
        <v>-1.3550781499785395E-2</v>
      </c>
      <c r="Q28" s="31">
        <f t="shared" si="5"/>
        <v>26192.862000000001</v>
      </c>
      <c r="R28" s="29">
        <f t="shared" si="7"/>
        <v>2.4631477204175976E-4</v>
      </c>
      <c r="S28" s="29">
        <v>0.1</v>
      </c>
      <c r="T28" s="29">
        <f t="shared" si="8"/>
        <v>2.4631477204175977E-5</v>
      </c>
    </row>
    <row r="29" spans="1:21" x14ac:dyDescent="0.2">
      <c r="A29" s="12" t="s">
        <v>68</v>
      </c>
      <c r="B29" s="2" t="s">
        <v>30</v>
      </c>
      <c r="C29" s="39">
        <v>42305.415999999997</v>
      </c>
      <c r="D29" s="39" t="s">
        <v>62</v>
      </c>
      <c r="E29" s="32">
        <f t="shared" si="1"/>
        <v>-8942.5450742601806</v>
      </c>
      <c r="F29" s="32">
        <f t="shared" si="6"/>
        <v>-8942.5</v>
      </c>
      <c r="G29" s="29">
        <f t="shared" si="2"/>
        <v>-1.4757750002900138E-2</v>
      </c>
      <c r="H29" s="29"/>
      <c r="I29" s="29">
        <f t="shared" si="3"/>
        <v>-1.4757750002900138E-2</v>
      </c>
      <c r="K29" s="29"/>
      <c r="L29" s="29"/>
      <c r="M29" s="29"/>
      <c r="N29" s="29"/>
      <c r="O29" s="29">
        <f t="shared" ca="1" si="4"/>
        <v>-0.17419931007172829</v>
      </c>
      <c r="P29" s="60">
        <f t="shared" si="9"/>
        <v>-1.3740330737079755E-2</v>
      </c>
      <c r="Q29" s="31">
        <f t="shared" si="5"/>
        <v>27286.915999999997</v>
      </c>
      <c r="R29" s="29">
        <f t="shared" si="7"/>
        <v>1.0351419624624878E-6</v>
      </c>
      <c r="S29" s="29">
        <v>0.1</v>
      </c>
      <c r="T29" s="29">
        <f t="shared" si="8"/>
        <v>1.0351419624624879E-7</v>
      </c>
    </row>
    <row r="30" spans="1:21" x14ac:dyDescent="0.2">
      <c r="A30" s="12" t="s">
        <v>68</v>
      </c>
      <c r="B30" s="2" t="s">
        <v>30</v>
      </c>
      <c r="C30" s="39">
        <v>42309.353000000003</v>
      </c>
      <c r="D30" s="39" t="s">
        <v>62</v>
      </c>
      <c r="E30" s="32">
        <f t="shared" si="1"/>
        <v>-8930.5203847045414</v>
      </c>
      <c r="F30" s="32">
        <f t="shared" si="6"/>
        <v>-8930.5</v>
      </c>
      <c r="G30" s="29">
        <f t="shared" si="2"/>
        <v>-6.6741499977069907E-3</v>
      </c>
      <c r="H30" s="29"/>
      <c r="I30" s="29">
        <f t="shared" si="3"/>
        <v>-6.6741499977069907E-3</v>
      </c>
      <c r="K30" s="29"/>
      <c r="L30" s="29"/>
      <c r="M30" s="29"/>
      <c r="N30" s="29"/>
      <c r="O30" s="29">
        <f t="shared" ca="1" si="4"/>
        <v>-0.17408681118113739</v>
      </c>
      <c r="P30" s="60">
        <f t="shared" si="9"/>
        <v>-1.3735917111831253E-2</v>
      </c>
      <c r="Q30" s="31">
        <f t="shared" si="5"/>
        <v>27290.853000000003</v>
      </c>
      <c r="R30" s="29">
        <f t="shared" si="7"/>
        <v>4.986855477412691E-5</v>
      </c>
      <c r="S30" s="29">
        <v>0.1</v>
      </c>
      <c r="T30" s="29">
        <f t="shared" si="8"/>
        <v>4.9868554774126912E-6</v>
      </c>
    </row>
    <row r="31" spans="1:21" x14ac:dyDescent="0.2">
      <c r="A31" s="12" t="s">
        <v>68</v>
      </c>
      <c r="B31" s="2" t="s">
        <v>30</v>
      </c>
      <c r="C31" s="39">
        <v>42331.303</v>
      </c>
      <c r="D31" s="39" t="s">
        <v>62</v>
      </c>
      <c r="E31" s="32">
        <f t="shared" si="1"/>
        <v>-8863.478998942308</v>
      </c>
      <c r="F31" s="32">
        <f t="shared" si="6"/>
        <v>-8863.5</v>
      </c>
      <c r="G31" s="29">
        <f t="shared" si="2"/>
        <v>6.8759499990846962E-3</v>
      </c>
      <c r="H31" s="29"/>
      <c r="I31" s="29">
        <f t="shared" si="3"/>
        <v>6.8759499990846962E-3</v>
      </c>
      <c r="K31" s="29"/>
      <c r="L31" s="29"/>
      <c r="M31" s="29"/>
      <c r="N31" s="29"/>
      <c r="O31" s="29">
        <f t="shared" ca="1" si="4"/>
        <v>-0.17345869237533826</v>
      </c>
      <c r="P31" s="60">
        <f t="shared" si="9"/>
        <v>-1.371060431683958E-2</v>
      </c>
      <c r="Q31" s="31">
        <f t="shared" si="5"/>
        <v>27312.803</v>
      </c>
      <c r="R31" s="29">
        <f t="shared" si="7"/>
        <v>4.2380621860250046E-4</v>
      </c>
      <c r="S31" s="29">
        <v>0.1</v>
      </c>
      <c r="T31" s="29">
        <f t="shared" si="8"/>
        <v>4.2380621860250046E-5</v>
      </c>
    </row>
    <row r="32" spans="1:21" x14ac:dyDescent="0.2">
      <c r="A32" s="12" t="s">
        <v>68</v>
      </c>
      <c r="B32" s="2" t="s">
        <v>30</v>
      </c>
      <c r="C32" s="39">
        <v>42335.211000000003</v>
      </c>
      <c r="D32" s="39" t="s">
        <v>62</v>
      </c>
      <c r="E32" s="32">
        <f t="shared" si="1"/>
        <v>-8851.5428834270879</v>
      </c>
      <c r="F32" s="32">
        <f t="shared" si="6"/>
        <v>-8851.5</v>
      </c>
      <c r="G32" s="29">
        <f t="shared" si="2"/>
        <v>-1.4040449997992255E-2</v>
      </c>
      <c r="H32" s="29"/>
      <c r="I32" s="29">
        <f t="shared" si="3"/>
        <v>-1.4040449997992255E-2</v>
      </c>
      <c r="K32" s="29"/>
      <c r="L32" s="29"/>
      <c r="M32" s="29"/>
      <c r="N32" s="29"/>
      <c r="O32" s="29">
        <f t="shared" ca="1" si="4"/>
        <v>-0.17334619348474736</v>
      </c>
      <c r="P32" s="60">
        <f t="shared" si="9"/>
        <v>-1.3705950672240315E-2</v>
      </c>
      <c r="Q32" s="31">
        <f t="shared" si="5"/>
        <v>27316.711000000003</v>
      </c>
      <c r="R32" s="29">
        <f t="shared" si="7"/>
        <v>1.1188979892850218E-7</v>
      </c>
      <c r="S32" s="29">
        <v>0.1</v>
      </c>
      <c r="T32" s="29">
        <f t="shared" si="8"/>
        <v>1.1188979892850218E-8</v>
      </c>
    </row>
    <row r="33" spans="1:22" x14ac:dyDescent="0.2">
      <c r="A33" s="12" t="s">
        <v>68</v>
      </c>
      <c r="B33" s="2" t="s">
        <v>41</v>
      </c>
      <c r="C33" s="39">
        <v>42341.292000000001</v>
      </c>
      <c r="D33" s="39" t="s">
        <v>62</v>
      </c>
      <c r="E33" s="32">
        <f t="shared" si="1"/>
        <v>-8832.9698234352854</v>
      </c>
      <c r="F33" s="32">
        <f t="shared" si="6"/>
        <v>-8833</v>
      </c>
      <c r="G33" s="29">
        <f t="shared" si="2"/>
        <v>9.8800999985542148E-3</v>
      </c>
      <c r="H33" s="29"/>
      <c r="I33" s="29">
        <f t="shared" si="3"/>
        <v>9.8800999985542148E-3</v>
      </c>
      <c r="K33" s="29"/>
      <c r="L33" s="29"/>
      <c r="M33" s="29"/>
      <c r="N33" s="29"/>
      <c r="O33" s="29">
        <f t="shared" ca="1" si="4"/>
        <v>-0.17317275769508639</v>
      </c>
      <c r="P33" s="60">
        <f t="shared" si="9"/>
        <v>-1.3698704873673695E-2</v>
      </c>
      <c r="Q33" s="31">
        <f t="shared" si="5"/>
        <v>27322.792000000001</v>
      </c>
      <c r="R33" s="29">
        <f t="shared" si="7"/>
        <v>5.5596003920259862E-4</v>
      </c>
      <c r="S33" s="29">
        <v>0.1</v>
      </c>
      <c r="T33" s="29">
        <f t="shared" si="8"/>
        <v>5.5596003920259863E-5</v>
      </c>
    </row>
    <row r="34" spans="1:22" x14ac:dyDescent="0.2">
      <c r="A34" s="12" t="s">
        <v>68</v>
      </c>
      <c r="B34" s="2" t="s">
        <v>41</v>
      </c>
      <c r="C34" s="39">
        <v>42364.222000000002</v>
      </c>
      <c r="D34" s="39" t="s">
        <v>62</v>
      </c>
      <c r="E34" s="32">
        <f t="shared" si="1"/>
        <v>-8762.9352459624733</v>
      </c>
      <c r="F34" s="32">
        <f t="shared" si="6"/>
        <v>-8763</v>
      </c>
      <c r="G34" s="29">
        <f t="shared" si="2"/>
        <v>2.1201100003963802E-2</v>
      </c>
      <c r="H34" s="29"/>
      <c r="I34" s="29">
        <f t="shared" si="3"/>
        <v>2.1201100003963802E-2</v>
      </c>
      <c r="K34" s="29"/>
      <c r="L34" s="29"/>
      <c r="M34" s="29"/>
      <c r="N34" s="29"/>
      <c r="O34" s="29">
        <f t="shared" ca="1" si="4"/>
        <v>-0.17251651416663955</v>
      </c>
      <c r="P34" s="60">
        <f t="shared" si="9"/>
        <v>-1.3670504098114782E-2</v>
      </c>
      <c r="Q34" s="31">
        <f t="shared" si="5"/>
        <v>27345.722000000002</v>
      </c>
      <c r="R34" s="29">
        <f t="shared" si="7"/>
        <v>1.2160287726521038E-3</v>
      </c>
      <c r="S34" s="29">
        <v>0.1</v>
      </c>
      <c r="T34" s="29">
        <f t="shared" si="8"/>
        <v>1.2160287726521039E-4</v>
      </c>
    </row>
    <row r="35" spans="1:22" x14ac:dyDescent="0.2">
      <c r="A35" s="12" t="s">
        <v>68</v>
      </c>
      <c r="B35" s="2" t="s">
        <v>41</v>
      </c>
      <c r="C35" s="39">
        <v>42665.385000000002</v>
      </c>
      <c r="D35" s="39" t="s">
        <v>62</v>
      </c>
      <c r="E35" s="32">
        <f t="shared" si="1"/>
        <v>-7843.099944809207</v>
      </c>
      <c r="F35" s="32">
        <f t="shared" si="6"/>
        <v>-7843</v>
      </c>
      <c r="G35" s="29">
        <f t="shared" si="2"/>
        <v>-3.2722899995860644E-2</v>
      </c>
      <c r="H35" s="29"/>
      <c r="I35" s="29">
        <f t="shared" si="3"/>
        <v>-3.2722899995860644E-2</v>
      </c>
      <c r="K35" s="29"/>
      <c r="L35" s="29"/>
      <c r="M35" s="29"/>
      <c r="N35" s="29"/>
      <c r="O35" s="29">
        <f t="shared" ca="1" si="4"/>
        <v>-0.16389159922133784</v>
      </c>
      <c r="P35" s="60">
        <f t="shared" si="9"/>
        <v>-1.318456489867123E-2</v>
      </c>
      <c r="Q35" s="31">
        <f t="shared" si="5"/>
        <v>27646.885000000002</v>
      </c>
      <c r="R35" s="29">
        <f t="shared" si="7"/>
        <v>3.8174653837006362E-4</v>
      </c>
      <c r="S35" s="29">
        <v>0.1</v>
      </c>
      <c r="T35" s="29">
        <f t="shared" si="8"/>
        <v>3.8174653837006365E-5</v>
      </c>
    </row>
    <row r="36" spans="1:22" x14ac:dyDescent="0.2">
      <c r="A36" s="12" t="s">
        <v>68</v>
      </c>
      <c r="B36" s="2" t="s">
        <v>41</v>
      </c>
      <c r="C36" s="39">
        <v>42667.404999999999</v>
      </c>
      <c r="D36" s="39" t="s">
        <v>62</v>
      </c>
      <c r="E36" s="32">
        <f t="shared" si="1"/>
        <v>-7836.9303047527374</v>
      </c>
      <c r="F36" s="32">
        <f t="shared" si="6"/>
        <v>-7837</v>
      </c>
      <c r="G36" s="29">
        <f t="shared" si="2"/>
        <v>2.2818899997218978E-2</v>
      </c>
      <c r="H36" s="29"/>
      <c r="I36" s="29">
        <f t="shared" si="3"/>
        <v>2.2818899997218978E-2</v>
      </c>
      <c r="K36" s="29"/>
      <c r="L36" s="29"/>
      <c r="M36" s="29"/>
      <c r="N36" s="29"/>
      <c r="O36" s="29">
        <f t="shared" ca="1" si="4"/>
        <v>-0.16383534977604242</v>
      </c>
      <c r="P36" s="60">
        <f t="shared" si="9"/>
        <v>-1.3180692382134885E-2</v>
      </c>
      <c r="Q36" s="31">
        <f t="shared" si="5"/>
        <v>27648.904999999999</v>
      </c>
      <c r="R36" s="29">
        <f t="shared" si="7"/>
        <v>1.2959706514796328E-3</v>
      </c>
      <c r="S36" s="29">
        <v>0.1</v>
      </c>
      <c r="T36" s="29">
        <f t="shared" si="8"/>
        <v>1.2959706514796329E-4</v>
      </c>
    </row>
    <row r="37" spans="1:22" x14ac:dyDescent="0.2">
      <c r="A37" s="12" t="s">
        <v>68</v>
      </c>
      <c r="B37" s="2" t="s">
        <v>30</v>
      </c>
      <c r="C37" s="39">
        <v>43396.368000000002</v>
      </c>
      <c r="D37" s="39" t="s">
        <v>62</v>
      </c>
      <c r="E37" s="32">
        <f t="shared" si="1"/>
        <v>-5610.4751936182674</v>
      </c>
      <c r="F37" s="32">
        <f t="shared" si="6"/>
        <v>-5610.5</v>
      </c>
      <c r="G37" s="29">
        <f t="shared" si="2"/>
        <v>8.121849998133257E-3</v>
      </c>
      <c r="H37" s="29"/>
      <c r="I37" s="29">
        <f t="shared" si="3"/>
        <v>8.121849998133257E-3</v>
      </c>
      <c r="K37" s="29"/>
      <c r="L37" s="29"/>
      <c r="M37" s="29"/>
      <c r="N37" s="29"/>
      <c r="O37" s="29">
        <f t="shared" ca="1" si="4"/>
        <v>-0.14296211811765741</v>
      </c>
      <c r="P37" s="60">
        <f t="shared" si="9"/>
        <v>-1.1114417679798675E-2</v>
      </c>
      <c r="Q37" s="31">
        <f t="shared" si="5"/>
        <v>28377.868000000002</v>
      </c>
      <c r="R37" s="29">
        <f t="shared" si="7"/>
        <v>3.7003399417704887E-4</v>
      </c>
      <c r="S37" s="29">
        <v>0.1</v>
      </c>
      <c r="T37" s="29">
        <f t="shared" si="8"/>
        <v>3.7003399417704888E-5</v>
      </c>
    </row>
    <row r="38" spans="1:22" x14ac:dyDescent="0.2">
      <c r="A38" s="12" t="s">
        <v>68</v>
      </c>
      <c r="B38" s="2" t="s">
        <v>41</v>
      </c>
      <c r="C38" s="39">
        <v>43748.470999999998</v>
      </c>
      <c r="D38" s="39" t="s">
        <v>62</v>
      </c>
      <c r="E38" s="32">
        <f t="shared" si="1"/>
        <v>-4535.0550090605238</v>
      </c>
      <c r="F38" s="32">
        <f t="shared" si="6"/>
        <v>-4535</v>
      </c>
      <c r="G38" s="29">
        <f t="shared" si="2"/>
        <v>-1.8010500003583729E-2</v>
      </c>
      <c r="H38" s="29"/>
      <c r="I38" s="29">
        <f t="shared" si="3"/>
        <v>-1.8010500003583729E-2</v>
      </c>
      <c r="K38" s="29"/>
      <c r="L38" s="29"/>
      <c r="M38" s="29"/>
      <c r="N38" s="29"/>
      <c r="O38" s="29">
        <f t="shared" ca="1" si="4"/>
        <v>-0.13287940504844875</v>
      </c>
      <c r="P38" s="60">
        <f t="shared" si="9"/>
        <v>-9.6667457137577933E-3</v>
      </c>
      <c r="Q38" s="31">
        <f t="shared" si="5"/>
        <v>28729.970999999998</v>
      </c>
      <c r="R38" s="29">
        <f t="shared" si="7"/>
        <v>6.9618235648988709E-5</v>
      </c>
      <c r="S38" s="29">
        <v>0.1</v>
      </c>
      <c r="T38" s="29">
        <f t="shared" si="8"/>
        <v>6.9618235648988709E-6</v>
      </c>
    </row>
    <row r="39" spans="1:22" x14ac:dyDescent="0.2">
      <c r="A39" s="12" t="s">
        <v>68</v>
      </c>
      <c r="B39" s="2" t="s">
        <v>30</v>
      </c>
      <c r="C39" s="39">
        <v>43865.195</v>
      </c>
      <c r="D39" s="39" t="s">
        <v>62</v>
      </c>
      <c r="E39" s="32">
        <f t="shared" si="1"/>
        <v>-4178.5475506681732</v>
      </c>
      <c r="F39" s="32">
        <f t="shared" si="6"/>
        <v>-4178.5</v>
      </c>
      <c r="G39" s="29">
        <f t="shared" si="2"/>
        <v>-1.5568549999443348E-2</v>
      </c>
      <c r="H39" s="29"/>
      <c r="I39" s="29">
        <f t="shared" si="3"/>
        <v>-1.5568549999443348E-2</v>
      </c>
      <c r="K39" s="29"/>
      <c r="L39" s="29"/>
      <c r="M39" s="29"/>
      <c r="N39" s="29"/>
      <c r="O39" s="29">
        <f t="shared" ca="1" si="4"/>
        <v>-0.12953725050714435</v>
      </c>
      <c r="P39" s="60">
        <f t="shared" si="9"/>
        <v>-9.1222540066837401E-3</v>
      </c>
      <c r="Q39" s="31">
        <f t="shared" si="5"/>
        <v>28846.695</v>
      </c>
      <c r="R39" s="29">
        <f t="shared" si="7"/>
        <v>4.1554732026268583E-5</v>
      </c>
      <c r="S39" s="29">
        <v>0.1</v>
      </c>
      <c r="T39" s="29">
        <f t="shared" si="8"/>
        <v>4.1554732026268589E-6</v>
      </c>
    </row>
    <row r="40" spans="1:22" x14ac:dyDescent="0.2">
      <c r="A40" s="12" t="s">
        <v>68</v>
      </c>
      <c r="B40" s="2" t="s">
        <v>30</v>
      </c>
      <c r="C40" s="39">
        <v>44087.512000000002</v>
      </c>
      <c r="D40" s="39" t="s">
        <v>62</v>
      </c>
      <c r="E40" s="32">
        <f t="shared" si="1"/>
        <v>-3499.5297940164837</v>
      </c>
      <c r="F40" s="32">
        <f t="shared" si="6"/>
        <v>-3499.5</v>
      </c>
      <c r="G40" s="29">
        <f t="shared" si="2"/>
        <v>-9.7548499979893677E-3</v>
      </c>
      <c r="H40" s="29"/>
      <c r="I40" s="29">
        <f t="shared" si="3"/>
        <v>-9.7548499979893677E-3</v>
      </c>
      <c r="K40" s="29"/>
      <c r="L40" s="29"/>
      <c r="M40" s="29"/>
      <c r="N40" s="29"/>
      <c r="O40" s="29">
        <f t="shared" ca="1" si="4"/>
        <v>-0.12317168828120975</v>
      </c>
      <c r="P40" s="60">
        <f t="shared" si="9"/>
        <v>-7.9961919298242468E-3</v>
      </c>
      <c r="Q40" s="31">
        <f t="shared" si="5"/>
        <v>29069.012000000002</v>
      </c>
      <c r="R40" s="29">
        <f t="shared" si="7"/>
        <v>3.0928782007222749E-6</v>
      </c>
      <c r="S40" s="29">
        <v>0.1</v>
      </c>
      <c r="T40" s="29">
        <f t="shared" si="8"/>
        <v>3.0928782007222752E-7</v>
      </c>
    </row>
    <row r="41" spans="1:22" x14ac:dyDescent="0.2">
      <c r="A41" s="12" t="s">
        <v>68</v>
      </c>
      <c r="B41" s="2" t="s">
        <v>41</v>
      </c>
      <c r="C41" s="39">
        <v>44139.402000000002</v>
      </c>
      <c r="D41" s="39" t="s">
        <v>62</v>
      </c>
      <c r="E41" s="32">
        <f t="shared" si="1"/>
        <v>-3341.0433472190939</v>
      </c>
      <c r="F41" s="32">
        <f t="shared" si="6"/>
        <v>-3341</v>
      </c>
      <c r="G41" s="29">
        <f t="shared" si="2"/>
        <v>-1.4192299997375812E-2</v>
      </c>
      <c r="H41" s="29"/>
      <c r="I41" s="29">
        <f t="shared" si="3"/>
        <v>-1.4192299997375812E-2</v>
      </c>
      <c r="K41" s="29"/>
      <c r="L41" s="29"/>
      <c r="M41" s="29"/>
      <c r="N41" s="29"/>
      <c r="O41" s="29">
        <f t="shared" ca="1" si="4"/>
        <v>-0.12168576543465505</v>
      </c>
      <c r="P41" s="60">
        <f t="shared" si="9"/>
        <v>-7.7165291899331844E-3</v>
      </c>
      <c r="Q41" s="31">
        <f t="shared" si="5"/>
        <v>29120.902000000002</v>
      </c>
      <c r="R41" s="29">
        <f t="shared" si="7"/>
        <v>4.1935607550526148E-5</v>
      </c>
      <c r="S41" s="29">
        <v>0.1</v>
      </c>
      <c r="T41" s="29">
        <f t="shared" si="8"/>
        <v>4.1935607550526152E-6</v>
      </c>
    </row>
    <row r="42" spans="1:22" x14ac:dyDescent="0.2">
      <c r="A42" s="12" t="s">
        <v>68</v>
      </c>
      <c r="B42" s="2" t="s">
        <v>41</v>
      </c>
      <c r="C42" s="39">
        <v>44140.383000000002</v>
      </c>
      <c r="D42" s="39" t="s">
        <v>62</v>
      </c>
      <c r="E42" s="32">
        <f t="shared" si="1"/>
        <v>-3338.0471012312696</v>
      </c>
      <c r="F42" s="32">
        <f t="shared" si="6"/>
        <v>-3338</v>
      </c>
      <c r="G42" s="29">
        <f t="shared" si="2"/>
        <v>-1.5421399999468122E-2</v>
      </c>
      <c r="H42" s="29"/>
      <c r="I42" s="29">
        <f t="shared" si="3"/>
        <v>-1.5421399999468122E-2</v>
      </c>
      <c r="K42" s="29"/>
      <c r="L42" s="29"/>
      <c r="M42" s="29"/>
      <c r="N42" s="29"/>
      <c r="O42" s="29">
        <f t="shared" ca="1" si="4"/>
        <v>-0.12165764071200733</v>
      </c>
      <c r="P42" s="60">
        <f t="shared" si="9"/>
        <v>-7.7111745548039123E-3</v>
      </c>
      <c r="Q42" s="31">
        <f t="shared" si="5"/>
        <v>29121.883000000002</v>
      </c>
      <c r="R42" s="29">
        <f t="shared" si="7"/>
        <v>5.9447576407547406E-5</v>
      </c>
      <c r="S42" s="29">
        <v>0.1</v>
      </c>
      <c r="T42" s="29">
        <f t="shared" si="8"/>
        <v>5.944757640754741E-6</v>
      </c>
    </row>
    <row r="43" spans="1:22" x14ac:dyDescent="0.2">
      <c r="A43" s="12" t="s">
        <v>68</v>
      </c>
      <c r="B43" s="2" t="s">
        <v>41</v>
      </c>
      <c r="C43" s="39">
        <v>44141.381999999998</v>
      </c>
      <c r="D43" s="39" t="s">
        <v>62</v>
      </c>
      <c r="E43" s="32">
        <f t="shared" si="1"/>
        <v>-3334.9958782528538</v>
      </c>
      <c r="F43" s="32">
        <f t="shared" si="6"/>
        <v>-3335</v>
      </c>
      <c r="G43" s="29">
        <f t="shared" si="2"/>
        <v>1.349499994830694E-3</v>
      </c>
      <c r="H43" s="29"/>
      <c r="I43" s="29">
        <f t="shared" si="3"/>
        <v>1.349499994830694E-3</v>
      </c>
      <c r="K43" s="29"/>
      <c r="L43" s="29"/>
      <c r="M43" s="29"/>
      <c r="N43" s="29"/>
      <c r="O43" s="29">
        <f t="shared" ca="1" si="4"/>
        <v>-0.12162951598935962</v>
      </c>
      <c r="P43" s="60">
        <f t="shared" si="9"/>
        <v>-7.705817641009919E-3</v>
      </c>
      <c r="Q43" s="31">
        <f t="shared" si="5"/>
        <v>29122.881999999998</v>
      </c>
      <c r="R43" s="29">
        <f t="shared" si="7"/>
        <v>8.1998777485966026E-5</v>
      </c>
      <c r="S43" s="29">
        <v>0.1</v>
      </c>
      <c r="T43" s="29">
        <f t="shared" si="8"/>
        <v>8.1998777485966036E-6</v>
      </c>
    </row>
    <row r="44" spans="1:22" x14ac:dyDescent="0.2">
      <c r="A44" s="12" t="s">
        <v>68</v>
      </c>
      <c r="B44" s="2" t="s">
        <v>41</v>
      </c>
      <c r="C44" s="39">
        <v>44487.457000000002</v>
      </c>
      <c r="D44" s="39" t="s">
        <v>62</v>
      </c>
      <c r="E44" s="32">
        <f t="shared" si="1"/>
        <v>-2277.9868769923405</v>
      </c>
      <c r="F44" s="32">
        <f t="shared" si="6"/>
        <v>-2278</v>
      </c>
      <c r="G44" s="29">
        <f t="shared" si="2"/>
        <v>4.2966000037267804E-3</v>
      </c>
      <c r="H44" s="29"/>
      <c r="I44" s="29">
        <f t="shared" si="3"/>
        <v>4.2966000037267804E-3</v>
      </c>
      <c r="K44" s="29"/>
      <c r="L44" s="29"/>
      <c r="M44" s="29"/>
      <c r="N44" s="29"/>
      <c r="O44" s="29">
        <f t="shared" ca="1" si="4"/>
        <v>-0.1117202387098119</v>
      </c>
      <c r="P44" s="60">
        <f t="shared" si="9"/>
        <v>-5.676561596020032E-3</v>
      </c>
      <c r="Q44" s="31">
        <f t="shared" si="5"/>
        <v>29468.957000000002</v>
      </c>
      <c r="R44" s="29">
        <f t="shared" si="7"/>
        <v>9.9463952294664396E-5</v>
      </c>
      <c r="S44" s="29">
        <v>0.1</v>
      </c>
      <c r="T44" s="29">
        <f t="shared" si="8"/>
        <v>9.9463952294664396E-6</v>
      </c>
    </row>
    <row r="45" spans="1:22" x14ac:dyDescent="0.2">
      <c r="A45" s="4" t="s">
        <v>27</v>
      </c>
      <c r="B45" s="29"/>
      <c r="C45" s="30">
        <f>+C28</f>
        <v>41211.362000000001</v>
      </c>
      <c r="D45" s="30" t="s">
        <v>13</v>
      </c>
      <c r="E45" s="29">
        <f t="shared" si="1"/>
        <v>-12284.089322949198</v>
      </c>
      <c r="F45" s="29">
        <f>ROUND(2*E45,0)/2</f>
        <v>-12284</v>
      </c>
      <c r="G45" s="29">
        <f t="shared" si="2"/>
        <v>-2.9245199999422766E-2</v>
      </c>
      <c r="I45" s="29"/>
      <c r="J45" s="29"/>
      <c r="K45" s="29">
        <f>+G45</f>
        <v>-2.9245199999422766E-2</v>
      </c>
      <c r="L45" s="29"/>
      <c r="M45" s="29"/>
      <c r="N45" s="29"/>
      <c r="O45" s="29">
        <f t="shared" ca="1" si="4"/>
        <v>-0.20552556364751695</v>
      </c>
      <c r="P45" s="60">
        <f t="shared" si="9"/>
        <v>-1.3550781499785395E-2</v>
      </c>
      <c r="Q45" s="31">
        <f t="shared" si="5"/>
        <v>26192.862000000001</v>
      </c>
      <c r="R45" s="29">
        <f t="shared" si="7"/>
        <v>2.4631477204175976E-4</v>
      </c>
      <c r="S45" s="29">
        <v>1</v>
      </c>
      <c r="T45" s="29">
        <f t="shared" si="8"/>
        <v>2.4631477204175976E-4</v>
      </c>
      <c r="U45" s="29"/>
      <c r="V45" s="29"/>
    </row>
    <row r="46" spans="1:22" x14ac:dyDescent="0.2">
      <c r="A46" s="12" t="s">
        <v>68</v>
      </c>
      <c r="B46" s="2" t="s">
        <v>41</v>
      </c>
      <c r="C46" s="39">
        <v>44489.398999999998</v>
      </c>
      <c r="D46" s="39" t="s">
        <v>62</v>
      </c>
      <c r="E46" s="32">
        <f t="shared" si="1"/>
        <v>-2272.0554705618179</v>
      </c>
      <c r="F46" s="29">
        <f t="shared" ref="F46:F59" si="10">ROUND(2*E46,0)/2</f>
        <v>-2272</v>
      </c>
      <c r="G46" s="29">
        <f t="shared" si="2"/>
        <v>-1.8161600004532374E-2</v>
      </c>
      <c r="H46" s="29"/>
      <c r="I46" s="29">
        <f t="shared" ref="I46:I63" si="11">+G46</f>
        <v>-1.8161600004532374E-2</v>
      </c>
      <c r="K46" s="29"/>
      <c r="L46" s="29"/>
      <c r="M46" s="29"/>
      <c r="N46" s="29"/>
      <c r="O46" s="29">
        <f t="shared" ca="1" si="4"/>
        <v>-0.11166398926451647</v>
      </c>
      <c r="P46" s="60">
        <f t="shared" si="9"/>
        <v>-5.6642352333634693E-3</v>
      </c>
      <c r="Q46" s="31">
        <f t="shared" si="5"/>
        <v>29470.898999999998</v>
      </c>
      <c r="R46" s="29">
        <f t="shared" si="7"/>
        <v>1.5618412622365362E-4</v>
      </c>
      <c r="S46" s="29">
        <v>0.1</v>
      </c>
      <c r="T46" s="29">
        <f t="shared" si="8"/>
        <v>1.5618412622365361E-5</v>
      </c>
    </row>
    <row r="47" spans="1:22" x14ac:dyDescent="0.2">
      <c r="A47" s="12" t="s">
        <v>68</v>
      </c>
      <c r="B47" s="2" t="s">
        <v>41</v>
      </c>
      <c r="C47" s="39">
        <v>44490.400000000001</v>
      </c>
      <c r="D47" s="39" t="s">
        <v>62</v>
      </c>
      <c r="E47" s="32">
        <f t="shared" si="1"/>
        <v>-2268.9981390288676</v>
      </c>
      <c r="F47" s="29">
        <f t="shared" si="10"/>
        <v>-2269</v>
      </c>
      <c r="G47" s="29">
        <f t="shared" si="2"/>
        <v>6.0929999744985253E-4</v>
      </c>
      <c r="H47" s="29"/>
      <c r="I47" s="29">
        <f t="shared" si="11"/>
        <v>6.0929999744985253E-4</v>
      </c>
      <c r="K47" s="29"/>
      <c r="L47" s="29"/>
      <c r="M47" s="29"/>
      <c r="N47" s="29"/>
      <c r="O47" s="29">
        <f t="shared" ca="1" si="4"/>
        <v>-0.11163586454186875</v>
      </c>
      <c r="P47" s="60">
        <f t="shared" si="9"/>
        <v>-5.6580686340381055E-3</v>
      </c>
      <c r="Q47" s="31">
        <f t="shared" si="5"/>
        <v>29471.9</v>
      </c>
      <c r="R47" s="29">
        <f t="shared" si="7"/>
        <v>3.927990956295924E-5</v>
      </c>
      <c r="S47" s="29">
        <v>0.1</v>
      </c>
      <c r="T47" s="29">
        <f t="shared" si="8"/>
        <v>3.9279909562959238E-6</v>
      </c>
    </row>
    <row r="48" spans="1:22" x14ac:dyDescent="0.2">
      <c r="A48" s="12" t="s">
        <v>68</v>
      </c>
      <c r="B48" s="2" t="s">
        <v>41</v>
      </c>
      <c r="C48" s="39">
        <v>44904.245000000003</v>
      </c>
      <c r="D48" s="39" t="s">
        <v>62</v>
      </c>
      <c r="E48" s="32">
        <f t="shared" si="1"/>
        <v>-1005.0007681507257</v>
      </c>
      <c r="F48" s="29">
        <f t="shared" si="10"/>
        <v>-1005</v>
      </c>
      <c r="G48" s="29">
        <f t="shared" si="2"/>
        <v>-2.5150000146823004E-4</v>
      </c>
      <c r="H48" s="29"/>
      <c r="I48" s="29">
        <f t="shared" si="11"/>
        <v>-2.5150000146823004E-4</v>
      </c>
      <c r="K48" s="29"/>
      <c r="L48" s="29"/>
      <c r="M48" s="29"/>
      <c r="N48" s="29"/>
      <c r="O48" s="29">
        <f t="shared" ca="1" si="4"/>
        <v>-9.9785981399628174E-2</v>
      </c>
      <c r="P48" s="60">
        <f t="shared" si="9"/>
        <v>-2.8571384400069848E-3</v>
      </c>
      <c r="Q48" s="31">
        <f t="shared" si="5"/>
        <v>29885.745000000003</v>
      </c>
      <c r="R48" s="29">
        <f t="shared" si="7"/>
        <v>6.7893516723906802E-6</v>
      </c>
      <c r="S48" s="29">
        <v>0.1</v>
      </c>
      <c r="T48" s="29">
        <f t="shared" si="8"/>
        <v>6.7893516723906802E-7</v>
      </c>
    </row>
    <row r="49" spans="1:30" x14ac:dyDescent="0.2">
      <c r="A49" s="12" t="s">
        <v>68</v>
      </c>
      <c r="B49" s="2" t="s">
        <v>41</v>
      </c>
      <c r="C49" s="39">
        <v>45226.415999999997</v>
      </c>
      <c r="D49" s="39" t="s">
        <v>62</v>
      </c>
      <c r="E49" s="32">
        <f t="shared" si="1"/>
        <v>-21.001210410088159</v>
      </c>
      <c r="F49" s="29">
        <f t="shared" si="10"/>
        <v>-21</v>
      </c>
      <c r="G49" s="29">
        <f t="shared" si="2"/>
        <v>-3.9630000537727028E-4</v>
      </c>
      <c r="H49" s="29"/>
      <c r="I49" s="29">
        <f t="shared" si="11"/>
        <v>-3.9630000537727028E-4</v>
      </c>
      <c r="K49" s="29"/>
      <c r="L49" s="29"/>
      <c r="M49" s="29"/>
      <c r="N49" s="29"/>
      <c r="O49" s="29">
        <f t="shared" ca="1" si="4"/>
        <v>-9.0561072371175069E-2</v>
      </c>
      <c r="P49" s="60">
        <f t="shared" si="9"/>
        <v>-3.966408393233913E-4</v>
      </c>
      <c r="Q49" s="31">
        <f t="shared" si="5"/>
        <v>30207.915999999997</v>
      </c>
      <c r="R49" s="29">
        <f t="shared" si="7"/>
        <v>1.161677788284276E-13</v>
      </c>
      <c r="S49" s="29">
        <v>0.1</v>
      </c>
      <c r="T49" s="29">
        <f t="shared" si="8"/>
        <v>1.1616777882842761E-14</v>
      </c>
    </row>
    <row r="50" spans="1:30" x14ac:dyDescent="0.2">
      <c r="A50" s="12" t="s">
        <v>68</v>
      </c>
      <c r="B50" s="2" t="s">
        <v>41</v>
      </c>
      <c r="C50" s="39">
        <v>45230.353000000003</v>
      </c>
      <c r="D50" s="39" t="s">
        <v>62</v>
      </c>
      <c r="E50" s="32">
        <f t="shared" si="1"/>
        <v>-8.9765208544477648</v>
      </c>
      <c r="F50" s="29">
        <f t="shared" si="10"/>
        <v>-9</v>
      </c>
      <c r="G50" s="29">
        <f t="shared" si="2"/>
        <v>7.6872999998158775E-3</v>
      </c>
      <c r="H50" s="29"/>
      <c r="I50" s="29">
        <f t="shared" si="11"/>
        <v>7.6872999998158775E-3</v>
      </c>
      <c r="K50" s="29"/>
      <c r="L50" s="29"/>
      <c r="M50" s="29"/>
      <c r="N50" s="29"/>
      <c r="O50" s="29">
        <f t="shared" ca="1" si="4"/>
        <v>-9.0448573480584174E-2</v>
      </c>
      <c r="P50" s="60">
        <f t="shared" si="9"/>
        <v>-3.6512173764667832E-4</v>
      </c>
      <c r="Q50" s="31">
        <f t="shared" si="5"/>
        <v>30211.853000000003</v>
      </c>
      <c r="R50" s="29">
        <f t="shared" si="7"/>
        <v>6.4841495837959475E-5</v>
      </c>
      <c r="S50" s="29">
        <v>0.1</v>
      </c>
      <c r="T50" s="29">
        <f t="shared" si="8"/>
        <v>6.4841495837959478E-6</v>
      </c>
    </row>
    <row r="51" spans="1:30" x14ac:dyDescent="0.2">
      <c r="A51" s="12" t="s">
        <v>68</v>
      </c>
      <c r="B51" s="2" t="s">
        <v>41</v>
      </c>
      <c r="C51" s="39">
        <v>45231.34</v>
      </c>
      <c r="D51" s="39" t="s">
        <v>62</v>
      </c>
      <c r="E51" s="32">
        <f t="shared" si="1"/>
        <v>-5.9619492031078272</v>
      </c>
      <c r="F51" s="29">
        <f t="shared" si="10"/>
        <v>-6</v>
      </c>
      <c r="G51" s="29">
        <f t="shared" si="2"/>
        <v>1.2458199991669971E-2</v>
      </c>
      <c r="H51" s="29"/>
      <c r="I51" s="29">
        <f t="shared" si="11"/>
        <v>1.2458199991669971E-2</v>
      </c>
      <c r="K51" s="29"/>
      <c r="L51" s="29"/>
      <c r="M51" s="29"/>
      <c r="N51" s="29"/>
      <c r="O51" s="29">
        <f t="shared" ca="1" si="4"/>
        <v>-9.042044875793645E-2</v>
      </c>
      <c r="P51" s="60">
        <f t="shared" si="9"/>
        <v>-3.5723626556569398E-4</v>
      </c>
      <c r="Q51" s="31">
        <f t="shared" si="5"/>
        <v>30212.839999999997</v>
      </c>
      <c r="R51" s="29">
        <f t="shared" si="7"/>
        <v>1.642354064632705E-4</v>
      </c>
      <c r="S51" s="29">
        <v>0.1</v>
      </c>
      <c r="T51" s="29">
        <f t="shared" si="8"/>
        <v>1.6423540646327049E-5</v>
      </c>
    </row>
    <row r="52" spans="1:30" x14ac:dyDescent="0.2">
      <c r="A52" s="12" t="s">
        <v>68</v>
      </c>
      <c r="B52" s="2" t="s">
        <v>30</v>
      </c>
      <c r="C52" s="39">
        <v>45237.373</v>
      </c>
      <c r="D52" s="39" t="s">
        <v>62</v>
      </c>
      <c r="E52" s="32">
        <f t="shared" si="1"/>
        <v>12.464505480437237</v>
      </c>
      <c r="F52" s="29">
        <f t="shared" si="10"/>
        <v>12.5</v>
      </c>
      <c r="G52" s="29">
        <f t="shared" si="2"/>
        <v>-1.1621249999734573E-2</v>
      </c>
      <c r="H52" s="29"/>
      <c r="I52" s="29">
        <f t="shared" si="11"/>
        <v>-1.1621249999734573E-2</v>
      </c>
      <c r="K52" s="29"/>
      <c r="L52" s="29"/>
      <c r="M52" s="29"/>
      <c r="N52" s="29"/>
      <c r="O52" s="29">
        <f t="shared" ca="1" si="4"/>
        <v>-9.0247012968275489E-2</v>
      </c>
      <c r="P52" s="60">
        <f t="shared" si="9"/>
        <v>-3.0855883557221592E-4</v>
      </c>
      <c r="Q52" s="31">
        <f t="shared" si="5"/>
        <v>30218.873</v>
      </c>
      <c r="R52" s="29">
        <f t="shared" si="7"/>
        <v>1.2797698137571707E-4</v>
      </c>
      <c r="S52" s="29">
        <v>0.1</v>
      </c>
      <c r="T52" s="29">
        <f t="shared" si="8"/>
        <v>1.2797698137571707E-5</v>
      </c>
    </row>
    <row r="53" spans="1:30" x14ac:dyDescent="0.2">
      <c r="A53" s="12" t="s">
        <v>68</v>
      </c>
      <c r="B53" s="2" t="s">
        <v>30</v>
      </c>
      <c r="C53" s="39">
        <v>45258.351999999999</v>
      </c>
      <c r="D53" s="39" t="s">
        <v>62</v>
      </c>
      <c r="E53" s="32">
        <f t="shared" ref="E53:E84" si="12">+(C53-C$7)/C$8</f>
        <v>76.5401880274093</v>
      </c>
      <c r="F53" s="29">
        <f t="shared" si="10"/>
        <v>76.5</v>
      </c>
      <c r="G53" s="29">
        <f t="shared" ref="G53:G84" si="13">+C53-(C$7+F53*C$8)</f>
        <v>1.3157950001186691E-2</v>
      </c>
      <c r="H53" s="29"/>
      <c r="I53" s="29">
        <f t="shared" si="11"/>
        <v>1.3157950001186691E-2</v>
      </c>
      <c r="K53" s="29"/>
      <c r="L53" s="29"/>
      <c r="M53" s="29"/>
      <c r="N53" s="29"/>
      <c r="O53" s="29">
        <f t="shared" ref="O53:O84" ca="1" si="14">+C$11+C$12*$F53</f>
        <v>-8.9647018885124066E-2</v>
      </c>
      <c r="P53" s="60">
        <f t="shared" si="9"/>
        <v>-1.3949283160052307E-4</v>
      </c>
      <c r="Q53" s="31">
        <f t="shared" ref="Q53:Q84" si="15">+C53-15018.5</f>
        <v>30239.851999999999</v>
      </c>
      <c r="R53" s="29">
        <f t="shared" si="7"/>
        <v>1.7682198589124404E-4</v>
      </c>
      <c r="S53" s="29">
        <v>0.1</v>
      </c>
      <c r="T53" s="29">
        <f t="shared" si="8"/>
        <v>1.7682198589124404E-5</v>
      </c>
    </row>
    <row r="54" spans="1:30" x14ac:dyDescent="0.2">
      <c r="A54" s="12" t="s">
        <v>68</v>
      </c>
      <c r="B54" s="2" t="s">
        <v>41</v>
      </c>
      <c r="C54" s="39">
        <v>45266.364999999998</v>
      </c>
      <c r="D54" s="39" t="s">
        <v>62</v>
      </c>
      <c r="E54" s="32">
        <f t="shared" si="12"/>
        <v>101.01411167719429</v>
      </c>
      <c r="F54" s="29">
        <f t="shared" si="10"/>
        <v>101</v>
      </c>
      <c r="G54" s="29">
        <f t="shared" si="13"/>
        <v>4.6202999947126955E-3</v>
      </c>
      <c r="H54" s="29"/>
      <c r="I54" s="29">
        <f t="shared" si="11"/>
        <v>4.6202999947126955E-3</v>
      </c>
      <c r="K54" s="29"/>
      <c r="L54" s="29"/>
      <c r="M54" s="29"/>
      <c r="N54" s="29"/>
      <c r="O54" s="29">
        <f t="shared" ca="1" si="14"/>
        <v>-8.9417333650167671E-2</v>
      </c>
      <c r="P54" s="60">
        <f t="shared" si="9"/>
        <v>-7.4497767800420033E-5</v>
      </c>
      <c r="Q54" s="31">
        <f t="shared" si="15"/>
        <v>30247.864999999998</v>
      </c>
      <c r="R54" s="29">
        <f t="shared" si="7"/>
        <v>2.2041126030898159E-5</v>
      </c>
      <c r="S54" s="29">
        <v>0.1</v>
      </c>
      <c r="T54" s="29">
        <f t="shared" si="8"/>
        <v>2.2041126030898159E-6</v>
      </c>
    </row>
    <row r="55" spans="1:30" x14ac:dyDescent="0.2">
      <c r="A55" s="12" t="s">
        <v>68</v>
      </c>
      <c r="B55" s="2" t="s">
        <v>30</v>
      </c>
      <c r="C55" s="39">
        <v>45586.362000000001</v>
      </c>
      <c r="D55" s="39" t="s">
        <v>62</v>
      </c>
      <c r="E55" s="32">
        <f t="shared" si="12"/>
        <v>1078.373670664002</v>
      </c>
      <c r="F55" s="29">
        <f t="shared" si="10"/>
        <v>1078.5</v>
      </c>
      <c r="G55" s="29">
        <f t="shared" si="13"/>
        <v>-4.1361449999385513E-2</v>
      </c>
      <c r="H55" s="29"/>
      <c r="I55" s="29">
        <f t="shared" si="11"/>
        <v>-4.1361449999385513E-2</v>
      </c>
      <c r="K55" s="29"/>
      <c r="L55" s="29"/>
      <c r="M55" s="29"/>
      <c r="N55" s="29"/>
      <c r="O55" s="29">
        <f t="shared" ca="1" si="14"/>
        <v>-8.0253361520784633E-2</v>
      </c>
      <c r="P55" s="60">
        <f t="shared" si="9"/>
        <v>2.6426642768201049E-3</v>
      </c>
      <c r="Q55" s="31">
        <f t="shared" si="15"/>
        <v>30567.862000000001</v>
      </c>
      <c r="R55" s="29">
        <f t="shared" si="7"/>
        <v>1.936362073233363E-3</v>
      </c>
      <c r="S55" s="29">
        <v>0.1</v>
      </c>
      <c r="T55" s="29">
        <f t="shared" si="8"/>
        <v>1.936362073233363E-4</v>
      </c>
    </row>
    <row r="56" spans="1:30" x14ac:dyDescent="0.2">
      <c r="A56" s="12" t="s">
        <v>68</v>
      </c>
      <c r="B56" s="2" t="s">
        <v>30</v>
      </c>
      <c r="C56" s="39">
        <v>45587.372000000003</v>
      </c>
      <c r="D56" s="39" t="s">
        <v>62</v>
      </c>
      <c r="E56" s="32">
        <f t="shared" si="12"/>
        <v>1081.458490692248</v>
      </c>
      <c r="F56" s="29">
        <f t="shared" si="10"/>
        <v>1081.5</v>
      </c>
      <c r="G56" s="29">
        <f t="shared" si="13"/>
        <v>-1.3590549999207724E-2</v>
      </c>
      <c r="H56" s="29"/>
      <c r="I56" s="29">
        <f t="shared" si="11"/>
        <v>-1.3590549999207724E-2</v>
      </c>
      <c r="K56" s="29"/>
      <c r="L56" s="29"/>
      <c r="M56" s="29"/>
      <c r="N56" s="29"/>
      <c r="O56" s="29">
        <f t="shared" ca="1" si="14"/>
        <v>-8.0225236798136909E-2</v>
      </c>
      <c r="P56" s="60">
        <f t="shared" si="9"/>
        <v>2.6513757648629704E-3</v>
      </c>
      <c r="Q56" s="31">
        <f t="shared" si="15"/>
        <v>30568.872000000003</v>
      </c>
      <c r="R56" s="29">
        <f t="shared" si="7"/>
        <v>2.6380015252558338E-4</v>
      </c>
      <c r="S56" s="29">
        <v>0.1</v>
      </c>
      <c r="T56" s="29">
        <f t="shared" si="8"/>
        <v>2.6380015252558339E-5</v>
      </c>
    </row>
    <row r="57" spans="1:30" x14ac:dyDescent="0.2">
      <c r="A57" s="12" t="s">
        <v>68</v>
      </c>
      <c r="B57" s="2" t="s">
        <v>30</v>
      </c>
      <c r="C57" s="39">
        <v>45589.373</v>
      </c>
      <c r="D57" s="39" t="s">
        <v>62</v>
      </c>
      <c r="E57" s="32">
        <f t="shared" si="12"/>
        <v>1087.5700994808592</v>
      </c>
      <c r="F57" s="29">
        <f>ROUND(2*E57,0)/2</f>
        <v>1087.5</v>
      </c>
      <c r="G57" s="29">
        <f t="shared" si="13"/>
        <v>2.2951250000915024E-2</v>
      </c>
      <c r="H57" s="29"/>
      <c r="I57" s="29">
        <f t="shared" si="11"/>
        <v>2.2951250000915024E-2</v>
      </c>
      <c r="K57" s="29"/>
      <c r="L57" s="29"/>
      <c r="M57" s="29"/>
      <c r="N57" s="29"/>
      <c r="O57" s="29">
        <f t="shared" ca="1" si="14"/>
        <v>-8.0168987352841461E-2</v>
      </c>
      <c r="P57" s="60">
        <f t="shared" si="9"/>
        <v>2.6688055769428678E-3</v>
      </c>
      <c r="Q57" s="31">
        <f t="shared" si="15"/>
        <v>30570.873</v>
      </c>
      <c r="R57" s="29">
        <f t="shared" si="7"/>
        <v>4.1137755181151921E-4</v>
      </c>
      <c r="S57" s="29">
        <v>0.1</v>
      </c>
      <c r="T57" s="29">
        <f t="shared" si="8"/>
        <v>4.1137755181151922E-5</v>
      </c>
    </row>
    <row r="58" spans="1:30" x14ac:dyDescent="0.2">
      <c r="A58" s="12" t="s">
        <v>68</v>
      </c>
      <c r="B58" s="2" t="s">
        <v>41</v>
      </c>
      <c r="C58" s="39">
        <v>45594.463000000003</v>
      </c>
      <c r="D58" s="39" t="s">
        <v>62</v>
      </c>
      <c r="E58" s="32">
        <f t="shared" si="12"/>
        <v>1103.1163707122973</v>
      </c>
      <c r="F58" s="29">
        <f t="shared" si="10"/>
        <v>1103</v>
      </c>
      <c r="G58" s="29">
        <f t="shared" si="13"/>
        <v>3.8100900004792493E-2</v>
      </c>
      <c r="H58" s="29"/>
      <c r="I58" s="29">
        <f t="shared" si="11"/>
        <v>3.8100900004792493E-2</v>
      </c>
      <c r="K58" s="29"/>
      <c r="L58" s="29"/>
      <c r="M58" s="29"/>
      <c r="N58" s="29"/>
      <c r="O58" s="29">
        <f t="shared" ca="1" si="14"/>
        <v>-8.0023676285828224E-2</v>
      </c>
      <c r="P58" s="60">
        <f t="shared" si="9"/>
        <v>2.7138747784280896E-3</v>
      </c>
      <c r="Q58" s="31">
        <f t="shared" si="15"/>
        <v>30575.963000000003</v>
      </c>
      <c r="R58" s="29">
        <f t="shared" si="7"/>
        <v>1.2522415543713505E-3</v>
      </c>
      <c r="S58" s="29">
        <v>0.1</v>
      </c>
      <c r="T58" s="29">
        <f t="shared" si="8"/>
        <v>1.2522415543713507E-4</v>
      </c>
    </row>
    <row r="59" spans="1:30" x14ac:dyDescent="0.2">
      <c r="A59" s="12" t="s">
        <v>68</v>
      </c>
      <c r="B59" s="2" t="s">
        <v>41</v>
      </c>
      <c r="C59" s="39">
        <v>45620.326999999997</v>
      </c>
      <c r="D59" s="39" t="s">
        <v>62</v>
      </c>
      <c r="E59" s="32">
        <f t="shared" si="12"/>
        <v>1182.112197653265</v>
      </c>
      <c r="F59" s="29">
        <f t="shared" si="10"/>
        <v>1182</v>
      </c>
      <c r="G59" s="29">
        <f t="shared" si="13"/>
        <v>3.6734599998453632E-2</v>
      </c>
      <c r="H59" s="29"/>
      <c r="I59" s="29">
        <f t="shared" si="11"/>
        <v>3.6734599998453632E-2</v>
      </c>
      <c r="K59" s="29"/>
      <c r="L59" s="29"/>
      <c r="M59" s="29"/>
      <c r="N59" s="29"/>
      <c r="O59" s="29">
        <f t="shared" ca="1" si="14"/>
        <v>-7.9283058589438182E-2</v>
      </c>
      <c r="P59" s="60">
        <f t="shared" si="9"/>
        <v>2.9445273976754283E-3</v>
      </c>
      <c r="Q59" s="31">
        <f t="shared" si="15"/>
        <v>30601.826999999997</v>
      </c>
      <c r="R59" s="29">
        <f t="shared" si="7"/>
        <v>1.1417690063658618E-3</v>
      </c>
      <c r="S59" s="29">
        <v>0.1</v>
      </c>
      <c r="T59" s="29">
        <f t="shared" si="8"/>
        <v>1.1417690063658618E-4</v>
      </c>
    </row>
    <row r="60" spans="1:30" x14ac:dyDescent="0.2">
      <c r="A60" s="29" t="s">
        <v>25</v>
      </c>
      <c r="B60" s="29"/>
      <c r="C60" s="30">
        <v>46644.455000000002</v>
      </c>
      <c r="D60" s="30"/>
      <c r="E60" s="29">
        <f t="shared" si="12"/>
        <v>4310.0830549614147</v>
      </c>
      <c r="F60" s="29">
        <f>ROUND(2*E60,0)/2</f>
        <v>4310</v>
      </c>
      <c r="G60" s="29">
        <f t="shared" si="13"/>
        <v>2.7193000001716428E-2</v>
      </c>
      <c r="H60" s="29"/>
      <c r="I60" s="29">
        <f t="shared" si="11"/>
        <v>2.7193000001716428E-2</v>
      </c>
      <c r="K60" s="29"/>
      <c r="L60" s="29"/>
      <c r="M60" s="29"/>
      <c r="N60" s="29"/>
      <c r="O60" s="29">
        <f t="shared" ca="1" si="14"/>
        <v>-4.9958347775412464E-2</v>
      </c>
      <c r="P60" s="60">
        <f t="shared" si="9"/>
        <v>1.3347115261195539E-2</v>
      </c>
      <c r="Q60" s="31">
        <f t="shared" si="15"/>
        <v>31625.955000000002</v>
      </c>
      <c r="R60" s="29">
        <f t="shared" si="7"/>
        <v>1.9170852424778918E-4</v>
      </c>
      <c r="S60" s="29">
        <v>0.1</v>
      </c>
      <c r="T60" s="29">
        <f t="shared" si="8"/>
        <v>1.917085242477892E-5</v>
      </c>
      <c r="U60" s="29"/>
      <c r="V60" s="29"/>
      <c r="AA60">
        <v>8</v>
      </c>
      <c r="AB60" t="s">
        <v>24</v>
      </c>
      <c r="AD60" t="s">
        <v>26</v>
      </c>
    </row>
    <row r="61" spans="1:30" x14ac:dyDescent="0.2">
      <c r="A61" s="12" t="s">
        <v>185</v>
      </c>
      <c r="B61" s="2" t="s">
        <v>41</v>
      </c>
      <c r="C61" s="39">
        <v>47805.457000000002</v>
      </c>
      <c r="D61" s="39" t="s">
        <v>62</v>
      </c>
      <c r="E61" s="32">
        <f t="shared" si="12"/>
        <v>7856.1050573639104</v>
      </c>
      <c r="F61" s="29">
        <f>ROUND(2*E61,0)/2</f>
        <v>7856</v>
      </c>
      <c r="G61" s="29">
        <f t="shared" si="13"/>
        <v>3.4396800001559313E-2</v>
      </c>
      <c r="H61" s="29"/>
      <c r="I61" s="29">
        <f t="shared" si="11"/>
        <v>3.4396800001559313E-2</v>
      </c>
      <c r="K61" s="29"/>
      <c r="L61" s="29"/>
      <c r="M61" s="29"/>
      <c r="N61" s="29"/>
      <c r="O61" s="29">
        <f t="shared" ca="1" si="14"/>
        <v>-1.6714925605804024E-2</v>
      </c>
      <c r="P61" s="60">
        <f t="shared" si="9"/>
        <v>2.8135757012751242E-2</v>
      </c>
      <c r="Q61" s="31">
        <f t="shared" si="15"/>
        <v>32786.957000000002</v>
      </c>
      <c r="R61" s="29">
        <f t="shared" si="7"/>
        <v>3.9200659307702709E-5</v>
      </c>
      <c r="S61" s="29">
        <v>0.1</v>
      </c>
      <c r="T61" s="29">
        <f t="shared" si="8"/>
        <v>3.9200659307702713E-6</v>
      </c>
    </row>
    <row r="62" spans="1:30" x14ac:dyDescent="0.2">
      <c r="A62" s="12" t="s">
        <v>185</v>
      </c>
      <c r="B62" s="2" t="s">
        <v>41</v>
      </c>
      <c r="C62" s="39">
        <v>47805.459000000003</v>
      </c>
      <c r="D62" s="39" t="s">
        <v>62</v>
      </c>
      <c r="E62" s="32">
        <f t="shared" si="12"/>
        <v>7856.1111659184226</v>
      </c>
      <c r="F62" s="29">
        <f>ROUND(2*E62,0)/2</f>
        <v>7856</v>
      </c>
      <c r="G62" s="29">
        <f t="shared" si="13"/>
        <v>3.6396800001966767E-2</v>
      </c>
      <c r="H62" s="29"/>
      <c r="I62" s="29">
        <f t="shared" si="11"/>
        <v>3.6396800001966767E-2</v>
      </c>
      <c r="K62" s="29"/>
      <c r="L62" s="29"/>
      <c r="M62" s="29"/>
      <c r="N62" s="29"/>
      <c r="O62" s="29">
        <f t="shared" ca="1" si="14"/>
        <v>-1.6714925605804024E-2</v>
      </c>
      <c r="P62" s="60">
        <f t="shared" si="9"/>
        <v>2.8135757012751242E-2</v>
      </c>
      <c r="Q62" s="31">
        <f t="shared" si="15"/>
        <v>32786.959000000003</v>
      </c>
      <c r="R62" s="29">
        <f t="shared" si="7"/>
        <v>6.8244831269666985E-5</v>
      </c>
      <c r="S62" s="29">
        <v>0.1</v>
      </c>
      <c r="T62" s="29">
        <f t="shared" si="8"/>
        <v>6.8244831269666988E-6</v>
      </c>
    </row>
    <row r="63" spans="1:30" x14ac:dyDescent="0.2">
      <c r="A63" s="12" t="s">
        <v>194</v>
      </c>
      <c r="B63" s="2" t="s">
        <v>41</v>
      </c>
      <c r="C63" s="39">
        <v>48156.447</v>
      </c>
      <c r="D63" s="39" t="s">
        <v>62</v>
      </c>
      <c r="E63" s="32">
        <f t="shared" si="12"/>
        <v>8928.1258313360868</v>
      </c>
      <c r="F63" s="29">
        <f>ROUND(2*E63,0)/2</f>
        <v>8928</v>
      </c>
      <c r="G63" s="29">
        <f t="shared" si="13"/>
        <v>4.1198399994755164E-2</v>
      </c>
      <c r="H63" s="29"/>
      <c r="I63" s="29">
        <f t="shared" si="11"/>
        <v>4.1198399994755164E-2</v>
      </c>
      <c r="K63" s="29"/>
      <c r="L63" s="29"/>
      <c r="M63" s="29"/>
      <c r="N63" s="29"/>
      <c r="O63" s="29">
        <f t="shared" ca="1" si="14"/>
        <v>-6.6650247130177059E-3</v>
      </c>
      <c r="P63" s="60">
        <f t="shared" si="9"/>
        <v>3.3233243339494817E-2</v>
      </c>
      <c r="Q63" s="31">
        <f t="shared" si="15"/>
        <v>33137.947</v>
      </c>
      <c r="R63" s="29">
        <f t="shared" si="7"/>
        <v>6.34437205428382E-5</v>
      </c>
      <c r="S63" s="29">
        <v>0.1</v>
      </c>
      <c r="T63" s="29">
        <f t="shared" si="8"/>
        <v>6.3443720542838207E-6</v>
      </c>
    </row>
    <row r="64" spans="1:30" x14ac:dyDescent="0.2">
      <c r="A64" s="32" t="s">
        <v>28</v>
      </c>
      <c r="B64" s="32"/>
      <c r="C64" s="15">
        <v>51036.390800000001</v>
      </c>
      <c r="D64" s="15">
        <v>1.8E-3</v>
      </c>
      <c r="E64" s="32">
        <f t="shared" si="12"/>
        <v>17724.272677321409</v>
      </c>
      <c r="F64" s="12">
        <f t="shared" ref="F64:F70" si="16">ROUND(2*E64,0)/2-0.5</f>
        <v>17724</v>
      </c>
      <c r="G64" s="29">
        <f t="shared" si="13"/>
        <v>8.9277200000651646E-2</v>
      </c>
      <c r="H64" s="29"/>
      <c r="I64" s="29"/>
      <c r="K64" s="29">
        <f>+G64</f>
        <v>8.9277200000651646E-2</v>
      </c>
      <c r="L64" s="29"/>
      <c r="M64" s="29"/>
      <c r="N64" s="29"/>
      <c r="O64" s="29">
        <f t="shared" ca="1" si="14"/>
        <v>7.5796662090105771E-2</v>
      </c>
      <c r="P64" s="60">
        <f t="shared" si="9"/>
        <v>8.6047351833060337E-2</v>
      </c>
      <c r="Q64" s="31">
        <f t="shared" si="15"/>
        <v>36017.890800000001</v>
      </c>
      <c r="R64" s="29">
        <f t="shared" si="7"/>
        <v>1.0431919185692939E-5</v>
      </c>
      <c r="S64" s="29">
        <v>1</v>
      </c>
      <c r="T64" s="29">
        <f t="shared" si="8"/>
        <v>1.0431919185692939E-5</v>
      </c>
      <c r="U64" s="29"/>
      <c r="V64" s="29"/>
    </row>
    <row r="65" spans="1:22" x14ac:dyDescent="0.2">
      <c r="A65" s="32" t="s">
        <v>27</v>
      </c>
      <c r="B65" s="32"/>
      <c r="C65" s="33">
        <v>51363.479800000001</v>
      </c>
      <c r="D65" s="33">
        <v>2.5000000000000001E-3</v>
      </c>
      <c r="E65" s="32">
        <f t="shared" si="12"/>
        <v>18723.29317060551</v>
      </c>
      <c r="F65" s="12">
        <f t="shared" si="16"/>
        <v>18723</v>
      </c>
      <c r="G65" s="29">
        <f t="shared" si="13"/>
        <v>9.5986899999843445E-2</v>
      </c>
      <c r="H65" s="29"/>
      <c r="I65" s="29"/>
      <c r="K65" s="29">
        <f>+G65</f>
        <v>9.5986899999843445E-2</v>
      </c>
      <c r="L65" s="29"/>
      <c r="M65" s="29"/>
      <c r="N65" s="29"/>
      <c r="O65" s="29">
        <f t="shared" ca="1" si="14"/>
        <v>8.5162194731797508E-2</v>
      </c>
      <c r="P65" s="60">
        <f t="shared" si="9"/>
        <v>9.3284413393591115E-2</v>
      </c>
      <c r="Q65" s="31">
        <f t="shared" si="15"/>
        <v>36344.979800000001</v>
      </c>
      <c r="R65" s="29">
        <f t="shared" si="7"/>
        <v>7.3034338569732369E-6</v>
      </c>
      <c r="S65" s="29">
        <v>1</v>
      </c>
      <c r="T65" s="29">
        <f t="shared" si="8"/>
        <v>7.3034338569732369E-6</v>
      </c>
      <c r="U65" s="29"/>
      <c r="V65" s="29"/>
    </row>
    <row r="66" spans="1:22" x14ac:dyDescent="0.2">
      <c r="A66" s="12" t="s">
        <v>209</v>
      </c>
      <c r="B66" s="2" t="s">
        <v>30</v>
      </c>
      <c r="C66" s="39">
        <v>51811.553999999996</v>
      </c>
      <c r="D66" s="39" t="s">
        <v>62</v>
      </c>
      <c r="E66" s="32">
        <f t="shared" si="12"/>
        <v>20091.83600852386</v>
      </c>
      <c r="F66" s="12">
        <f t="shared" si="16"/>
        <v>20091.5</v>
      </c>
      <c r="G66" s="29">
        <f t="shared" si="13"/>
        <v>0.11001244999351911</v>
      </c>
      <c r="H66" s="29"/>
      <c r="I66" s="29">
        <f t="shared" ref="I66:I73" si="17">+G66</f>
        <v>0.11001244999351911</v>
      </c>
      <c r="K66" s="29"/>
      <c r="L66" s="29"/>
      <c r="M66" s="29"/>
      <c r="N66" s="29"/>
      <c r="O66" s="29">
        <f t="shared" ca="1" si="14"/>
        <v>9.7991755712933754E-2</v>
      </c>
      <c r="P66" s="60">
        <f t="shared" si="9"/>
        <v>0.10360839596911611</v>
      </c>
      <c r="Q66" s="31">
        <f t="shared" si="15"/>
        <v>36793.053999999996</v>
      </c>
      <c r="R66" s="29">
        <f t="shared" si="7"/>
        <v>4.1011907947472256E-5</v>
      </c>
      <c r="S66" s="29">
        <v>0.1</v>
      </c>
      <c r="T66" s="29">
        <f t="shared" si="8"/>
        <v>4.1011907947472254E-6</v>
      </c>
    </row>
    <row r="67" spans="1:22" x14ac:dyDescent="0.2">
      <c r="A67" s="12" t="s">
        <v>209</v>
      </c>
      <c r="B67" s="2" t="s">
        <v>41</v>
      </c>
      <c r="C67" s="39">
        <v>51812.368000000002</v>
      </c>
      <c r="D67" s="39" t="s">
        <v>62</v>
      </c>
      <c r="E67" s="32">
        <f t="shared" si="12"/>
        <v>20094.322190210005</v>
      </c>
      <c r="F67" s="12">
        <f t="shared" si="16"/>
        <v>20094</v>
      </c>
      <c r="G67" s="29">
        <f t="shared" si="13"/>
        <v>0.10548820000258274</v>
      </c>
      <c r="H67" s="29"/>
      <c r="I67" s="29">
        <f t="shared" si="17"/>
        <v>0.10548820000258274</v>
      </c>
      <c r="K67" s="29"/>
      <c r="L67" s="29"/>
      <c r="M67" s="29"/>
      <c r="N67" s="29"/>
      <c r="O67" s="29">
        <f t="shared" ca="1" si="14"/>
        <v>9.8015192981806859E-2</v>
      </c>
      <c r="P67" s="60">
        <f t="shared" si="9"/>
        <v>0.10362768989879109</v>
      </c>
      <c r="Q67" s="31">
        <f t="shared" si="15"/>
        <v>36793.868000000002</v>
      </c>
      <c r="R67" s="29">
        <f t="shared" si="7"/>
        <v>3.4614978463108224E-6</v>
      </c>
      <c r="S67" s="29">
        <v>0.1</v>
      </c>
      <c r="T67" s="29">
        <f t="shared" si="8"/>
        <v>3.4614978463108224E-7</v>
      </c>
    </row>
    <row r="68" spans="1:22" x14ac:dyDescent="0.2">
      <c r="A68" s="12" t="s">
        <v>209</v>
      </c>
      <c r="B68" s="2" t="s">
        <v>41</v>
      </c>
      <c r="C68" s="39">
        <v>51814.336000000003</v>
      </c>
      <c r="D68" s="39" t="s">
        <v>62</v>
      </c>
      <c r="E68" s="32">
        <f t="shared" si="12"/>
        <v>20100.333007849189</v>
      </c>
      <c r="F68" s="12">
        <f t="shared" si="16"/>
        <v>20100</v>
      </c>
      <c r="G68" s="29">
        <f t="shared" si="13"/>
        <v>0.10902999999962049</v>
      </c>
      <c r="H68" s="29"/>
      <c r="I68" s="29">
        <f t="shared" si="17"/>
        <v>0.10902999999962049</v>
      </c>
      <c r="K68" s="29"/>
      <c r="L68" s="29"/>
      <c r="M68" s="29"/>
      <c r="N68" s="29"/>
      <c r="O68" s="29">
        <f t="shared" ca="1" si="14"/>
        <v>9.8071442427102307E-2</v>
      </c>
      <c r="P68" s="60">
        <f t="shared" si="9"/>
        <v>0.10367400178622779</v>
      </c>
      <c r="Q68" s="31">
        <f t="shared" si="15"/>
        <v>36795.836000000003</v>
      </c>
      <c r="R68" s="29">
        <f t="shared" si="7"/>
        <v>2.8686716861865722E-5</v>
      </c>
      <c r="S68" s="29">
        <v>0.1</v>
      </c>
      <c r="T68" s="29">
        <f t="shared" si="8"/>
        <v>2.8686716861865723E-6</v>
      </c>
    </row>
    <row r="69" spans="1:22" x14ac:dyDescent="0.2">
      <c r="A69" s="12" t="s">
        <v>209</v>
      </c>
      <c r="B69" s="2" t="s">
        <v>30</v>
      </c>
      <c r="C69" s="39">
        <v>51814.493000000002</v>
      </c>
      <c r="D69" s="39" t="s">
        <v>62</v>
      </c>
      <c r="E69" s="32">
        <f t="shared" si="12"/>
        <v>20100.812529378331</v>
      </c>
      <c r="F69" s="12">
        <f t="shared" si="16"/>
        <v>20100.5</v>
      </c>
      <c r="G69" s="29">
        <f t="shared" si="13"/>
        <v>0.10232515000097919</v>
      </c>
      <c r="H69" s="29"/>
      <c r="I69" s="29">
        <f t="shared" si="17"/>
        <v>0.10232515000097919</v>
      </c>
      <c r="K69" s="29"/>
      <c r="L69" s="29"/>
      <c r="M69" s="29"/>
      <c r="N69" s="29"/>
      <c r="O69" s="29">
        <f t="shared" ca="1" si="14"/>
        <v>9.8076129880876911E-2</v>
      </c>
      <c r="P69" s="60">
        <f t="shared" si="9"/>
        <v>0.10367786152160643</v>
      </c>
      <c r="Q69" s="31">
        <f t="shared" si="15"/>
        <v>36795.993000000002</v>
      </c>
      <c r="R69" s="29">
        <f t="shared" si="7"/>
        <v>1.829828458037666E-6</v>
      </c>
      <c r="S69" s="29">
        <v>0.1</v>
      </c>
      <c r="T69" s="29">
        <f t="shared" si="8"/>
        <v>1.8298284580376662E-7</v>
      </c>
    </row>
    <row r="70" spans="1:22" x14ac:dyDescent="0.2">
      <c r="A70" s="12" t="s">
        <v>221</v>
      </c>
      <c r="B70" s="2" t="s">
        <v>41</v>
      </c>
      <c r="C70" s="39">
        <v>51846.404999999999</v>
      </c>
      <c r="D70" s="39" t="s">
        <v>62</v>
      </c>
      <c r="E70" s="32">
        <f t="shared" si="12"/>
        <v>20198.280625161678</v>
      </c>
      <c r="F70" s="12">
        <f t="shared" si="16"/>
        <v>20198</v>
      </c>
      <c r="G70" s="29">
        <f t="shared" si="13"/>
        <v>9.1879399995377753E-2</v>
      </c>
      <c r="H70" s="29"/>
      <c r="I70" s="29">
        <f t="shared" si="17"/>
        <v>9.1879399995377753E-2</v>
      </c>
      <c r="K70" s="29"/>
      <c r="L70" s="29"/>
      <c r="M70" s="29"/>
      <c r="N70" s="29"/>
      <c r="O70" s="29">
        <f t="shared" ca="1" si="14"/>
        <v>9.8990183366927914E-2</v>
      </c>
      <c r="P70" s="60">
        <f t="shared" si="9"/>
        <v>0.10443171951163002</v>
      </c>
      <c r="Q70" s="31">
        <f t="shared" si="15"/>
        <v>36827.904999999999</v>
      </c>
      <c r="R70" s="29">
        <f t="shared" si="7"/>
        <v>1.575607252380876E-4</v>
      </c>
      <c r="S70" s="29">
        <v>0.1</v>
      </c>
      <c r="T70" s="29">
        <f t="shared" si="8"/>
        <v>1.5756072523808762E-5</v>
      </c>
    </row>
    <row r="71" spans="1:22" x14ac:dyDescent="0.2">
      <c r="A71" s="12" t="s">
        <v>225</v>
      </c>
      <c r="B71" s="2" t="s">
        <v>41</v>
      </c>
      <c r="C71" s="39">
        <v>52092.593999999997</v>
      </c>
      <c r="D71" s="39" t="s">
        <v>62</v>
      </c>
      <c r="E71" s="32">
        <f t="shared" si="12"/>
        <v>20950.210088461019</v>
      </c>
      <c r="F71" s="32">
        <f>ROUND(2*E71,0)/2</f>
        <v>20950</v>
      </c>
      <c r="G71" s="29">
        <f t="shared" si="13"/>
        <v>6.8784999995841645E-2</v>
      </c>
      <c r="H71" s="29"/>
      <c r="I71" s="29">
        <f t="shared" si="17"/>
        <v>6.8784999995841645E-2</v>
      </c>
      <c r="K71" s="29"/>
      <c r="L71" s="29"/>
      <c r="M71" s="29"/>
      <c r="N71" s="29"/>
      <c r="O71" s="29">
        <f t="shared" ca="1" si="14"/>
        <v>0.10604011384395712</v>
      </c>
      <c r="P71" s="60">
        <f t="shared" si="9"/>
        <v>0.1103269611982067</v>
      </c>
      <c r="Q71" s="31">
        <f t="shared" si="15"/>
        <v>37074.093999999997</v>
      </c>
      <c r="R71" s="29">
        <f t="shared" si="7"/>
        <v>1.7257345405388036E-3</v>
      </c>
      <c r="S71" s="29">
        <v>0.1</v>
      </c>
      <c r="T71" s="29">
        <f t="shared" si="8"/>
        <v>1.7257345405388038E-4</v>
      </c>
    </row>
    <row r="72" spans="1:22" x14ac:dyDescent="0.2">
      <c r="A72" s="12" t="s">
        <v>229</v>
      </c>
      <c r="B72" s="2" t="s">
        <v>41</v>
      </c>
      <c r="C72" s="39">
        <v>52260.258000000002</v>
      </c>
      <c r="D72" s="39" t="s">
        <v>62</v>
      </c>
      <c r="E72" s="32">
        <f t="shared" si="12"/>
        <v>21462.302430257871</v>
      </c>
      <c r="F72" s="12">
        <f t="shared" ref="F72:F90" si="18">ROUND(2*E72,0)/2-0.5</f>
        <v>21462</v>
      </c>
      <c r="G72" s="29">
        <f t="shared" si="13"/>
        <v>9.9018599998089485E-2</v>
      </c>
      <c r="H72" s="29"/>
      <c r="I72" s="29">
        <f t="shared" si="17"/>
        <v>9.9018599998089485E-2</v>
      </c>
      <c r="K72" s="29"/>
      <c r="L72" s="29"/>
      <c r="M72" s="29"/>
      <c r="N72" s="29"/>
      <c r="O72" s="29">
        <f t="shared" ca="1" si="14"/>
        <v>0.1108400665091685</v>
      </c>
      <c r="P72" s="60">
        <f t="shared" si="9"/>
        <v>0.11442266937710645</v>
      </c>
      <c r="Q72" s="31">
        <f t="shared" si="15"/>
        <v>37241.758000000002</v>
      </c>
      <c r="R72" s="29">
        <f t="shared" si="7"/>
        <v>2.3728535343356806E-4</v>
      </c>
      <c r="S72" s="29">
        <v>0.1</v>
      </c>
      <c r="T72" s="29">
        <f t="shared" si="8"/>
        <v>2.3728535343356807E-5</v>
      </c>
    </row>
    <row r="73" spans="1:22" x14ac:dyDescent="0.2">
      <c r="A73" s="12" t="s">
        <v>233</v>
      </c>
      <c r="B73" s="2" t="s">
        <v>41</v>
      </c>
      <c r="C73" s="39">
        <v>52464.574999999997</v>
      </c>
      <c r="D73" s="39" t="s">
        <v>62</v>
      </c>
      <c r="E73" s="32">
        <f t="shared" si="12"/>
        <v>22086.343196307243</v>
      </c>
      <c r="F73" s="12">
        <f t="shared" si="18"/>
        <v>22086</v>
      </c>
      <c r="G73" s="29">
        <f t="shared" si="13"/>
        <v>0.11236579999240348</v>
      </c>
      <c r="H73" s="29"/>
      <c r="I73" s="29">
        <f t="shared" si="17"/>
        <v>0.11236579999240348</v>
      </c>
      <c r="K73" s="29"/>
      <c r="L73" s="29"/>
      <c r="M73" s="29"/>
      <c r="N73" s="29"/>
      <c r="O73" s="29">
        <f t="shared" ca="1" si="14"/>
        <v>0.11669000881989486</v>
      </c>
      <c r="P73" s="60">
        <f t="shared" si="9"/>
        <v>0.11950405057512944</v>
      </c>
      <c r="Q73" s="31">
        <f t="shared" si="15"/>
        <v>37446.074999999997</v>
      </c>
      <c r="R73" s="29">
        <f t="shared" si="7"/>
        <v>5.0954621381787557E-5</v>
      </c>
      <c r="S73" s="29">
        <v>0.1</v>
      </c>
      <c r="T73" s="29">
        <f t="shared" si="8"/>
        <v>5.0954621381787564E-6</v>
      </c>
    </row>
    <row r="74" spans="1:22" x14ac:dyDescent="0.2">
      <c r="A74" s="13" t="s">
        <v>33</v>
      </c>
      <c r="B74" s="14" t="s">
        <v>30</v>
      </c>
      <c r="C74" s="15">
        <v>52530.400000000001</v>
      </c>
      <c r="D74" s="15">
        <v>6.0000000000000001E-3</v>
      </c>
      <c r="E74" s="32">
        <f t="shared" si="12"/>
        <v>22287.390996662591</v>
      </c>
      <c r="F74" s="12">
        <f t="shared" si="18"/>
        <v>22287</v>
      </c>
      <c r="G74" s="29">
        <f t="shared" si="13"/>
        <v>0.12801609999587527</v>
      </c>
      <c r="H74" s="29"/>
      <c r="I74" s="29"/>
      <c r="K74" s="29">
        <f t="shared" ref="K74:K81" si="19">+G74</f>
        <v>0.12801609999587527</v>
      </c>
      <c r="L74" s="29"/>
      <c r="M74" s="29"/>
      <c r="N74" s="29"/>
      <c r="O74" s="29">
        <f t="shared" ca="1" si="14"/>
        <v>0.11857436523729228</v>
      </c>
      <c r="P74" s="60">
        <f t="shared" si="9"/>
        <v>0.12116183383286339</v>
      </c>
      <c r="Q74" s="31">
        <f t="shared" si="15"/>
        <v>37511.9</v>
      </c>
      <c r="R74" s="29">
        <f t="shared" si="7"/>
        <v>4.6980964633409596E-5</v>
      </c>
      <c r="S74" s="29">
        <v>1</v>
      </c>
      <c r="T74" s="29">
        <f t="shared" si="8"/>
        <v>4.6980964633409596E-5</v>
      </c>
      <c r="U74" s="29"/>
      <c r="V74" s="29"/>
    </row>
    <row r="75" spans="1:22" x14ac:dyDescent="0.2">
      <c r="A75" s="12" t="s">
        <v>242</v>
      </c>
      <c r="B75" s="2" t="s">
        <v>41</v>
      </c>
      <c r="C75" s="39">
        <v>52550.035300000003</v>
      </c>
      <c r="D75" s="39" t="s">
        <v>62</v>
      </c>
      <c r="E75" s="32">
        <f t="shared" si="12"/>
        <v>22347.362646861107</v>
      </c>
      <c r="F75" s="12">
        <f t="shared" si="18"/>
        <v>22347</v>
      </c>
      <c r="G75" s="29">
        <f t="shared" si="13"/>
        <v>0.11873410000407603</v>
      </c>
      <c r="H75" s="29"/>
      <c r="I75" s="29"/>
      <c r="K75" s="29">
        <f t="shared" si="19"/>
        <v>0.11873410000407603</v>
      </c>
      <c r="L75" s="29"/>
      <c r="M75" s="29"/>
      <c r="N75" s="29"/>
      <c r="O75" s="29">
        <f t="shared" ca="1" si="14"/>
        <v>0.11913685969024673</v>
      </c>
      <c r="P75" s="60">
        <f t="shared" si="9"/>
        <v>0.12165867694512233</v>
      </c>
      <c r="Q75" s="31">
        <f t="shared" si="15"/>
        <v>37531.535300000003</v>
      </c>
      <c r="R75" s="29">
        <f t="shared" si="7"/>
        <v>8.5531502840997832E-6</v>
      </c>
      <c r="S75" s="29">
        <v>1</v>
      </c>
      <c r="T75" s="29">
        <f t="shared" si="8"/>
        <v>8.5531502840997832E-6</v>
      </c>
    </row>
    <row r="76" spans="1:22" x14ac:dyDescent="0.2">
      <c r="A76" s="12" t="s">
        <v>242</v>
      </c>
      <c r="B76" s="2" t="s">
        <v>41</v>
      </c>
      <c r="C76" s="39">
        <v>52551.015299999999</v>
      </c>
      <c r="D76" s="39" t="s">
        <v>62</v>
      </c>
      <c r="E76" s="32">
        <f t="shared" si="12"/>
        <v>22350.355838571664</v>
      </c>
      <c r="F76" s="12">
        <f t="shared" si="18"/>
        <v>22350</v>
      </c>
      <c r="G76" s="29">
        <f t="shared" si="13"/>
        <v>0.11650499999814201</v>
      </c>
      <c r="H76" s="29"/>
      <c r="I76" s="29"/>
      <c r="K76" s="29">
        <f t="shared" si="19"/>
        <v>0.11650499999814201</v>
      </c>
      <c r="L76" s="29"/>
      <c r="M76" s="29"/>
      <c r="N76" s="29"/>
      <c r="O76" s="29">
        <f t="shared" ca="1" si="14"/>
        <v>0.11916498441289447</v>
      </c>
      <c r="P76" s="60">
        <f t="shared" si="9"/>
        <v>0.12168354302671486</v>
      </c>
      <c r="Q76" s="31">
        <f t="shared" si="15"/>
        <v>37532.515299999999</v>
      </c>
      <c r="R76" s="29">
        <f t="shared" si="7"/>
        <v>2.6817307898780427E-5</v>
      </c>
      <c r="S76" s="29">
        <v>1</v>
      </c>
      <c r="T76" s="29">
        <f t="shared" si="8"/>
        <v>2.6817307898780427E-5</v>
      </c>
    </row>
    <row r="77" spans="1:22" x14ac:dyDescent="0.2">
      <c r="A77" s="12" t="s">
        <v>242</v>
      </c>
      <c r="B77" s="2" t="s">
        <v>41</v>
      </c>
      <c r="C77" s="39">
        <v>52552.004699999998</v>
      </c>
      <c r="D77" s="39" t="s">
        <v>62</v>
      </c>
      <c r="E77" s="32">
        <f t="shared" si="12"/>
        <v>22353.377740488435</v>
      </c>
      <c r="F77" s="12">
        <f t="shared" si="18"/>
        <v>22353</v>
      </c>
      <c r="G77" s="29">
        <f t="shared" si="13"/>
        <v>0.12367589999485062</v>
      </c>
      <c r="H77" s="29"/>
      <c r="I77" s="29"/>
      <c r="K77" s="29">
        <f t="shared" si="19"/>
        <v>0.12367589999485062</v>
      </c>
      <c r="L77" s="29"/>
      <c r="M77" s="29"/>
      <c r="N77" s="29"/>
      <c r="O77" s="29">
        <f t="shared" ca="1" si="14"/>
        <v>0.11919310913554218</v>
      </c>
      <c r="P77" s="60">
        <f t="shared" si="9"/>
        <v>0.12170841138697212</v>
      </c>
      <c r="Q77" s="31">
        <f t="shared" si="15"/>
        <v>37533.504699999998</v>
      </c>
      <c r="R77" s="29">
        <f t="shared" si="7"/>
        <v>3.8710114221316814E-6</v>
      </c>
      <c r="S77" s="29">
        <v>1</v>
      </c>
      <c r="T77" s="29">
        <f t="shared" si="8"/>
        <v>3.8710114221316814E-6</v>
      </c>
    </row>
    <row r="78" spans="1:22" x14ac:dyDescent="0.2">
      <c r="A78" s="12" t="s">
        <v>242</v>
      </c>
      <c r="B78" s="2" t="s">
        <v>41</v>
      </c>
      <c r="C78" s="39">
        <v>52552.984499999999</v>
      </c>
      <c r="D78" s="39" t="s">
        <v>62</v>
      </c>
      <c r="E78" s="32">
        <f t="shared" si="12"/>
        <v>22356.370321343555</v>
      </c>
      <c r="F78" s="12">
        <f t="shared" si="18"/>
        <v>22356</v>
      </c>
      <c r="G78" s="29">
        <f t="shared" si="13"/>
        <v>0.12124679999396903</v>
      </c>
      <c r="H78" s="29"/>
      <c r="I78" s="29"/>
      <c r="K78" s="29">
        <f t="shared" si="19"/>
        <v>0.12124679999396903</v>
      </c>
      <c r="L78" s="29"/>
      <c r="M78" s="29"/>
      <c r="N78" s="29"/>
      <c r="O78" s="29">
        <f t="shared" ca="1" si="14"/>
        <v>0.11922123385818992</v>
      </c>
      <c r="P78" s="60">
        <f t="shared" si="9"/>
        <v>0.1217332820258941</v>
      </c>
      <c r="Q78" s="31">
        <f t="shared" si="15"/>
        <v>37534.484499999999</v>
      </c>
      <c r="R78" s="29">
        <f t="shared" si="7"/>
        <v>2.3666476738594493E-7</v>
      </c>
      <c r="S78" s="29">
        <v>1</v>
      </c>
      <c r="T78" s="29">
        <f t="shared" si="8"/>
        <v>2.3666476738594493E-7</v>
      </c>
    </row>
    <row r="79" spans="1:22" x14ac:dyDescent="0.2">
      <c r="A79" s="12" t="s">
        <v>242</v>
      </c>
      <c r="B79" s="2" t="s">
        <v>30</v>
      </c>
      <c r="C79" s="39">
        <v>52557.0772</v>
      </c>
      <c r="D79" s="39" t="s">
        <v>62</v>
      </c>
      <c r="E79" s="32">
        <f t="shared" si="12"/>
        <v>22368.870561867891</v>
      </c>
      <c r="F79" s="12">
        <f t="shared" si="18"/>
        <v>22368.5</v>
      </c>
      <c r="G79" s="29">
        <f t="shared" si="13"/>
        <v>0.12132554999698186</v>
      </c>
      <c r="H79" s="29"/>
      <c r="I79" s="29"/>
      <c r="K79" s="29">
        <f t="shared" si="19"/>
        <v>0.12132554999698186</v>
      </c>
      <c r="L79" s="29"/>
      <c r="M79" s="29"/>
      <c r="N79" s="29"/>
      <c r="O79" s="29">
        <f t="shared" ca="1" si="14"/>
        <v>0.11933842020255542</v>
      </c>
      <c r="P79" s="60">
        <f t="shared" si="9"/>
        <v>0.12183693421536289</v>
      </c>
      <c r="Q79" s="31">
        <f t="shared" si="15"/>
        <v>37538.5772</v>
      </c>
      <c r="R79" s="29">
        <f t="shared" si="7"/>
        <v>2.6151381880917211E-7</v>
      </c>
      <c r="S79" s="29">
        <v>1</v>
      </c>
      <c r="T79" s="29">
        <f t="shared" si="8"/>
        <v>2.6151381880917211E-7</v>
      </c>
    </row>
    <row r="80" spans="1:22" x14ac:dyDescent="0.2">
      <c r="A80" s="12" t="s">
        <v>242</v>
      </c>
      <c r="B80" s="2" t="s">
        <v>30</v>
      </c>
      <c r="C80" s="39">
        <v>52558.059399999998</v>
      </c>
      <c r="D80" s="39" t="s">
        <v>62</v>
      </c>
      <c r="E80" s="32">
        <f t="shared" si="12"/>
        <v>22371.870472988419</v>
      </c>
      <c r="F80" s="12">
        <f t="shared" si="18"/>
        <v>22371.5</v>
      </c>
      <c r="G80" s="29">
        <f t="shared" si="13"/>
        <v>0.12129644999367883</v>
      </c>
      <c r="H80" s="29"/>
      <c r="I80" s="29"/>
      <c r="K80" s="29">
        <f t="shared" si="19"/>
        <v>0.12129644999367883</v>
      </c>
      <c r="L80" s="29"/>
      <c r="M80" s="29"/>
      <c r="N80" s="29"/>
      <c r="O80" s="29">
        <f t="shared" ca="1" si="14"/>
        <v>0.11936654492520316</v>
      </c>
      <c r="P80" s="60">
        <f t="shared" si="9"/>
        <v>0.12186181662738593</v>
      </c>
      <c r="Q80" s="31">
        <f t="shared" si="15"/>
        <v>37539.559399999998</v>
      </c>
      <c r="R80" s="29">
        <f t="shared" si="7"/>
        <v>3.1963943050929637E-7</v>
      </c>
      <c r="S80" s="29">
        <v>1</v>
      </c>
      <c r="T80" s="29">
        <f t="shared" si="8"/>
        <v>3.1963943050929637E-7</v>
      </c>
    </row>
    <row r="81" spans="1:22" x14ac:dyDescent="0.2">
      <c r="A81" s="13" t="s">
        <v>29</v>
      </c>
      <c r="B81" s="14" t="s">
        <v>30</v>
      </c>
      <c r="C81" s="15">
        <v>52871.553999999996</v>
      </c>
      <c r="D81" s="34">
        <v>3.0000000000000001E-3</v>
      </c>
      <c r="E81" s="32">
        <f t="shared" si="12"/>
        <v>23329.369899547859</v>
      </c>
      <c r="F81" s="12">
        <f t="shared" si="18"/>
        <v>23329</v>
      </c>
      <c r="G81" s="29">
        <f t="shared" si="13"/>
        <v>0.12110869999742135</v>
      </c>
      <c r="H81" s="29"/>
      <c r="I81" s="29"/>
      <c r="K81" s="29">
        <f t="shared" si="19"/>
        <v>0.12110869999742135</v>
      </c>
      <c r="L81" s="29"/>
      <c r="M81" s="29"/>
      <c r="N81" s="29"/>
      <c r="O81" s="29">
        <f t="shared" ca="1" si="14"/>
        <v>0.12834301890360136</v>
      </c>
      <c r="P81" s="60">
        <f t="shared" si="9"/>
        <v>0.12991987754938475</v>
      </c>
      <c r="Q81" s="31">
        <f t="shared" si="15"/>
        <v>37853.053999999996</v>
      </c>
      <c r="R81" s="29">
        <f t="shared" si="7"/>
        <v>7.7636849852223642E-5</v>
      </c>
      <c r="S81" s="29">
        <v>1</v>
      </c>
      <c r="T81" s="29">
        <f t="shared" si="8"/>
        <v>7.7636849852223642E-5</v>
      </c>
      <c r="U81" s="29"/>
      <c r="V81" s="29"/>
    </row>
    <row r="82" spans="1:22" x14ac:dyDescent="0.2">
      <c r="A82" s="35" t="s">
        <v>48</v>
      </c>
      <c r="B82" s="36" t="s">
        <v>30</v>
      </c>
      <c r="C82" s="35">
        <v>53204.542000000001</v>
      </c>
      <c r="D82" s="35">
        <v>2E-3</v>
      </c>
      <c r="E82" s="32">
        <f t="shared" si="12"/>
        <v>24346.407574363249</v>
      </c>
      <c r="F82" s="12">
        <f t="shared" si="18"/>
        <v>24346</v>
      </c>
      <c r="G82" s="29">
        <f t="shared" si="13"/>
        <v>0.13344379999762168</v>
      </c>
      <c r="H82" s="29"/>
      <c r="I82" s="29">
        <f>+G82</f>
        <v>0.13344379999762168</v>
      </c>
      <c r="L82" s="29"/>
      <c r="M82" s="29"/>
      <c r="N82" s="29"/>
      <c r="O82" s="29">
        <f t="shared" ca="1" si="14"/>
        <v>0.13787729988117942</v>
      </c>
      <c r="P82" s="60">
        <f t="shared" si="9"/>
        <v>0.13873288049945526</v>
      </c>
      <c r="Q82" s="31">
        <f t="shared" si="15"/>
        <v>38186.042000000001</v>
      </c>
      <c r="R82" s="29">
        <f t="shared" si="7"/>
        <v>2.7974372554876116E-5</v>
      </c>
      <c r="S82" s="29">
        <v>0.1</v>
      </c>
      <c r="T82" s="29">
        <f t="shared" si="8"/>
        <v>2.7974372554876117E-6</v>
      </c>
      <c r="U82" s="29"/>
      <c r="V82" s="29"/>
    </row>
    <row r="83" spans="1:22" x14ac:dyDescent="0.2">
      <c r="A83" s="35" t="s">
        <v>48</v>
      </c>
      <c r="B83" s="36" t="s">
        <v>30</v>
      </c>
      <c r="C83" s="35">
        <v>53591.555</v>
      </c>
      <c r="D83" s="35">
        <v>4.0000000000000001E-3</v>
      </c>
      <c r="E83" s="32">
        <f t="shared" si="12"/>
        <v>25528.452577916898</v>
      </c>
      <c r="F83" s="12">
        <f t="shared" si="18"/>
        <v>25528</v>
      </c>
      <c r="G83" s="29">
        <f t="shared" si="13"/>
        <v>0.14817839999886928</v>
      </c>
      <c r="H83" s="29"/>
      <c r="I83" s="29">
        <f>+G83</f>
        <v>0.14817839999886928</v>
      </c>
      <c r="L83" s="29"/>
      <c r="M83" s="29"/>
      <c r="N83" s="29"/>
      <c r="O83" s="29">
        <f t="shared" ca="1" si="14"/>
        <v>0.14895844060438224</v>
      </c>
      <c r="P83" s="60">
        <f t="shared" si="9"/>
        <v>0.14930476315084654</v>
      </c>
      <c r="Q83" s="31">
        <f t="shared" si="15"/>
        <v>38573.055</v>
      </c>
      <c r="R83" s="29">
        <f t="shared" si="7"/>
        <v>1.2686939501321379E-6</v>
      </c>
      <c r="S83" s="29">
        <v>0.1</v>
      </c>
      <c r="T83" s="29">
        <f t="shared" si="8"/>
        <v>1.2686939501321379E-7</v>
      </c>
      <c r="U83" s="29"/>
      <c r="V83" s="29"/>
    </row>
    <row r="84" spans="1:22" x14ac:dyDescent="0.2">
      <c r="A84" s="13" t="s">
        <v>40</v>
      </c>
      <c r="B84" s="37" t="s">
        <v>41</v>
      </c>
      <c r="C84" s="33">
        <v>53656.381699999998</v>
      </c>
      <c r="D84" s="33">
        <v>2.0000000000000001E-4</v>
      </c>
      <c r="E84" s="32">
        <f t="shared" si="12"/>
        <v>25726.451293287879</v>
      </c>
      <c r="F84" s="12">
        <f t="shared" si="18"/>
        <v>25726</v>
      </c>
      <c r="G84" s="29">
        <f t="shared" si="13"/>
        <v>0.14775779999763472</v>
      </c>
      <c r="H84" s="29"/>
      <c r="I84" s="29"/>
      <c r="K84" s="29">
        <f>+G84</f>
        <v>0.14775779999763472</v>
      </c>
      <c r="L84" s="29"/>
      <c r="M84" s="29"/>
      <c r="N84" s="29"/>
      <c r="O84" s="29">
        <f t="shared" ca="1" si="14"/>
        <v>0.15081467229913195</v>
      </c>
      <c r="P84" s="60">
        <f t="shared" si="9"/>
        <v>0.15111027778638841</v>
      </c>
      <c r="Q84" s="31">
        <f t="shared" si="15"/>
        <v>38637.881699999998</v>
      </c>
      <c r="R84" s="29">
        <f t="shared" si="7"/>
        <v>1.1239107324086857E-5</v>
      </c>
      <c r="S84" s="29">
        <v>1</v>
      </c>
      <c r="T84" s="29">
        <f t="shared" si="8"/>
        <v>1.1239107324086857E-5</v>
      </c>
      <c r="U84" s="29"/>
      <c r="V84" s="29"/>
    </row>
    <row r="85" spans="1:22" x14ac:dyDescent="0.2">
      <c r="A85" s="15" t="s">
        <v>42</v>
      </c>
      <c r="B85" s="37"/>
      <c r="C85" s="15">
        <v>53932.556700000001</v>
      </c>
      <c r="D85" s="15">
        <v>1E-4</v>
      </c>
      <c r="E85" s="32">
        <f t="shared" ref="E85:E90" si="20">+(C85-C$7)/C$8</f>
        <v>26569.966314376143</v>
      </c>
      <c r="F85" s="12">
        <f t="shared" si="18"/>
        <v>26569.5</v>
      </c>
      <c r="G85" s="29">
        <f t="shared" ref="G85:G90" si="21">+C85-(C$7+F85*C$8)</f>
        <v>0.15267584999674</v>
      </c>
      <c r="H85" s="29"/>
      <c r="I85" s="29"/>
      <c r="J85" s="29">
        <f>+G85</f>
        <v>0.15267584999674</v>
      </c>
      <c r="L85" s="29"/>
      <c r="M85" s="29"/>
      <c r="N85" s="29"/>
      <c r="O85" s="29">
        <f t="shared" ref="O85:O90" ca="1" si="22">+C$11+C$12*$F85</f>
        <v>0.15872240681691671</v>
      </c>
      <c r="P85" s="60">
        <f t="shared" si="9"/>
        <v>0.1589131646713261</v>
      </c>
      <c r="Q85" s="31">
        <f t="shared" ref="Q85:Q90" si="23">+C85-15018.5</f>
        <v>38914.056700000001</v>
      </c>
      <c r="R85" s="29">
        <f t="shared" si="7"/>
        <v>3.8904094349807141E-5</v>
      </c>
      <c r="S85" s="29">
        <v>1</v>
      </c>
      <c r="T85" s="29">
        <f t="shared" si="8"/>
        <v>3.8904094349807141E-5</v>
      </c>
      <c r="U85" s="29"/>
      <c r="V85" s="29"/>
    </row>
    <row r="86" spans="1:22" x14ac:dyDescent="0.2">
      <c r="A86" s="64" t="s">
        <v>50</v>
      </c>
      <c r="B86" s="65" t="s">
        <v>41</v>
      </c>
      <c r="C86" s="66">
        <v>54767.648000000001</v>
      </c>
      <c r="D86" s="64" t="s">
        <v>51</v>
      </c>
      <c r="E86" s="32">
        <f t="shared" si="20"/>
        <v>29120.566678384908</v>
      </c>
      <c r="F86" s="12">
        <f t="shared" si="18"/>
        <v>29120</v>
      </c>
      <c r="G86" s="29">
        <f t="shared" si="21"/>
        <v>0.18553599999722792</v>
      </c>
      <c r="H86" s="29"/>
      <c r="I86" s="29"/>
      <c r="K86" s="29">
        <f t="shared" ref="K86:K93" si="24">+G86</f>
        <v>0.18553599999722792</v>
      </c>
      <c r="L86" s="29"/>
      <c r="M86" s="29"/>
      <c r="N86" s="29"/>
      <c r="O86" s="29">
        <f t="shared" ca="1" si="22"/>
        <v>0.18263310852125575</v>
      </c>
      <c r="P86" s="60">
        <f t="shared" si="9"/>
        <v>0.1836026722670403</v>
      </c>
      <c r="Q86" s="31">
        <f t="shared" si="23"/>
        <v>39749.148000000001</v>
      </c>
      <c r="R86" s="29">
        <f t="shared" ref="R86:R93" si="25">+(P86-G86)^2</f>
        <v>3.7377561123124044E-6</v>
      </c>
      <c r="S86" s="29">
        <v>1</v>
      </c>
      <c r="T86" s="29">
        <f t="shared" ref="T86:T93" si="26">+S86*R86</f>
        <v>3.7377561123124044E-6</v>
      </c>
    </row>
    <row r="87" spans="1:22" x14ac:dyDescent="0.2">
      <c r="A87" s="12" t="s">
        <v>290</v>
      </c>
      <c r="B87" s="2" t="s">
        <v>41</v>
      </c>
      <c r="C87" s="39">
        <v>55445.407899999998</v>
      </c>
      <c r="D87" s="39" t="s">
        <v>62</v>
      </c>
      <c r="E87" s="32">
        <f t="shared" si="20"/>
        <v>31190.633325768897</v>
      </c>
      <c r="F87" s="12">
        <f t="shared" si="18"/>
        <v>31190</v>
      </c>
      <c r="G87" s="29">
        <f t="shared" si="21"/>
        <v>0.20735699999931967</v>
      </c>
      <c r="H87" s="29"/>
      <c r="I87" s="29"/>
      <c r="K87" s="29">
        <f t="shared" si="24"/>
        <v>0.20735699999931967</v>
      </c>
      <c r="L87" s="29"/>
      <c r="M87" s="29"/>
      <c r="N87" s="29"/>
      <c r="O87" s="29">
        <f t="shared" ca="1" si="22"/>
        <v>0.20203916714818454</v>
      </c>
      <c r="P87" s="60">
        <f t="shared" ref="P87:P93" si="27">+D$11+D$12*F87+D$13*F87^2</f>
        <v>0.20485159968168742</v>
      </c>
      <c r="Q87" s="31">
        <f t="shared" si="23"/>
        <v>40426.907899999998</v>
      </c>
      <c r="R87" s="29">
        <f t="shared" si="25"/>
        <v>6.2770307515917529E-6</v>
      </c>
      <c r="S87" s="29">
        <v>1</v>
      </c>
      <c r="T87" s="29">
        <f t="shared" si="26"/>
        <v>6.2770307515917529E-6</v>
      </c>
    </row>
    <row r="88" spans="1:22" x14ac:dyDescent="0.2">
      <c r="A88" s="13" t="s">
        <v>47</v>
      </c>
      <c r="B88" s="14" t="s">
        <v>41</v>
      </c>
      <c r="C88" s="15">
        <v>55445.40799</v>
      </c>
      <c r="D88" s="15">
        <v>2.0000000000000001E-4</v>
      </c>
      <c r="E88" s="32">
        <f t="shared" si="20"/>
        <v>31190.633600653851</v>
      </c>
      <c r="F88" s="12">
        <f t="shared" si="18"/>
        <v>31190</v>
      </c>
      <c r="G88" s="29">
        <f t="shared" si="21"/>
        <v>0.20744700000068406</v>
      </c>
      <c r="H88" s="29"/>
      <c r="I88" s="29"/>
      <c r="K88" s="29">
        <f t="shared" si="24"/>
        <v>0.20744700000068406</v>
      </c>
      <c r="L88" s="29"/>
      <c r="M88" s="29"/>
      <c r="N88" s="29"/>
      <c r="O88" s="29">
        <f t="shared" ca="1" si="22"/>
        <v>0.20203916714818454</v>
      </c>
      <c r="P88" s="60">
        <f t="shared" si="27"/>
        <v>0.20485159968168742</v>
      </c>
      <c r="Q88" s="31">
        <f t="shared" si="23"/>
        <v>40426.90799</v>
      </c>
      <c r="R88" s="29">
        <f t="shared" si="25"/>
        <v>6.736102815847821E-6</v>
      </c>
      <c r="S88" s="29">
        <v>1</v>
      </c>
      <c r="T88" s="29">
        <f t="shared" si="26"/>
        <v>6.736102815847821E-6</v>
      </c>
      <c r="U88" s="29"/>
      <c r="V88" s="29"/>
    </row>
    <row r="89" spans="1:22" x14ac:dyDescent="0.2">
      <c r="A89" s="13" t="s">
        <v>46</v>
      </c>
      <c r="B89" s="14" t="s">
        <v>30</v>
      </c>
      <c r="C89" s="15">
        <v>55480.6083</v>
      </c>
      <c r="D89" s="15">
        <v>2.3999999999999998E-3</v>
      </c>
      <c r="E89" s="32">
        <f t="shared" si="20"/>
        <v>31298.145106879845</v>
      </c>
      <c r="F89" s="12">
        <f t="shared" si="18"/>
        <v>31297.5</v>
      </c>
      <c r="G89" s="29">
        <f t="shared" si="21"/>
        <v>0.21121424999728333</v>
      </c>
      <c r="H89" s="29"/>
      <c r="I89" s="29"/>
      <c r="K89" s="29">
        <f t="shared" si="24"/>
        <v>0.21121424999728333</v>
      </c>
      <c r="L89" s="29"/>
      <c r="M89" s="29"/>
      <c r="N89" s="29"/>
      <c r="O89" s="29">
        <f t="shared" ca="1" si="22"/>
        <v>0.20304696970972796</v>
      </c>
      <c r="P89" s="60">
        <f t="shared" si="27"/>
        <v>0.20598473970875442</v>
      </c>
      <c r="Q89" s="31">
        <f t="shared" si="23"/>
        <v>40462.1083</v>
      </c>
      <c r="R89" s="29">
        <f t="shared" si="25"/>
        <v>2.7347777857829785E-5</v>
      </c>
      <c r="S89" s="29">
        <v>1</v>
      </c>
      <c r="T89" s="29">
        <f t="shared" si="26"/>
        <v>2.7347777857829785E-5</v>
      </c>
      <c r="U89" s="29"/>
      <c r="V89" s="29"/>
    </row>
    <row r="90" spans="1:22" x14ac:dyDescent="0.2">
      <c r="A90" s="35" t="s">
        <v>49</v>
      </c>
      <c r="B90" s="36" t="s">
        <v>30</v>
      </c>
      <c r="C90" s="35">
        <v>55862.7045</v>
      </c>
      <c r="D90" s="35">
        <v>2.0000000000000001E-4</v>
      </c>
      <c r="E90" s="32">
        <f t="shared" si="20"/>
        <v>32465.172840022755</v>
      </c>
      <c r="F90" s="12">
        <f t="shared" si="18"/>
        <v>32464.5</v>
      </c>
      <c r="G90" s="29">
        <f t="shared" si="21"/>
        <v>0.22029434999421937</v>
      </c>
      <c r="H90" s="29"/>
      <c r="I90" s="29"/>
      <c r="K90" s="29">
        <f t="shared" si="24"/>
        <v>0.22029434999421937</v>
      </c>
      <c r="L90" s="29"/>
      <c r="M90" s="29"/>
      <c r="N90" s="29"/>
      <c r="O90" s="29">
        <f t="shared" ca="1" si="22"/>
        <v>0.21398748681969215</v>
      </c>
      <c r="P90" s="60">
        <f t="shared" si="27"/>
        <v>0.21847418328174747</v>
      </c>
      <c r="Q90" s="31">
        <f t="shared" si="23"/>
        <v>40844.2045</v>
      </c>
      <c r="R90" s="29">
        <f t="shared" si="25"/>
        <v>3.3130068611907604E-6</v>
      </c>
      <c r="S90" s="29">
        <v>1</v>
      </c>
      <c r="T90" s="29">
        <f t="shared" si="26"/>
        <v>3.3130068611907604E-6</v>
      </c>
      <c r="U90" s="29"/>
      <c r="V90" s="29"/>
    </row>
    <row r="91" spans="1:22" x14ac:dyDescent="0.2">
      <c r="A91" s="68" t="s">
        <v>0</v>
      </c>
      <c r="B91" s="69" t="s">
        <v>41</v>
      </c>
      <c r="C91" s="70">
        <v>56958.734700000001</v>
      </c>
      <c r="D91" s="70">
        <v>1E-4</v>
      </c>
      <c r="E91" s="32">
        <f>+(C91-C$7)/C$8</f>
        <v>35812.752951424467</v>
      </c>
      <c r="F91" s="67">
        <f>ROUND(2*E91,0)/2-1</f>
        <v>35812</v>
      </c>
      <c r="G91" s="29">
        <f>+C91-(C$7+F91*C$8)</f>
        <v>0.24652359999890905</v>
      </c>
      <c r="H91" s="29"/>
      <c r="I91" s="29"/>
      <c r="K91" s="29">
        <f t="shared" si="24"/>
        <v>0.24652359999890905</v>
      </c>
      <c r="L91" s="29"/>
      <c r="M91" s="29"/>
      <c r="N91" s="29"/>
      <c r="O91" s="29">
        <f ca="1">+C$11+C$12*$F91</f>
        <v>0.24536998984077629</v>
      </c>
      <c r="P91" s="60">
        <f t="shared" si="27"/>
        <v>0.2562128316153291</v>
      </c>
      <c r="Q91" s="31">
        <f>+C91-15018.5</f>
        <v>41940.234700000001</v>
      </c>
      <c r="R91" s="29">
        <f t="shared" si="25"/>
        <v>9.3881209316633827E-5</v>
      </c>
      <c r="S91" s="29">
        <v>1</v>
      </c>
      <c r="T91" s="29">
        <f t="shared" si="26"/>
        <v>9.3881209316633827E-5</v>
      </c>
    </row>
    <row r="92" spans="1:22" x14ac:dyDescent="0.2">
      <c r="A92" s="68" t="s">
        <v>0</v>
      </c>
      <c r="B92" s="69" t="s">
        <v>41</v>
      </c>
      <c r="C92" s="70">
        <v>57289.756099999999</v>
      </c>
      <c r="D92" s="70">
        <v>5.9999999999999995E-4</v>
      </c>
      <c r="E92" s="32">
        <f>+(C92-C$7)/C$8</f>
        <v>36823.784084588806</v>
      </c>
      <c r="F92" s="67">
        <f>ROUND(2*E92,0)/2-1</f>
        <v>36823</v>
      </c>
      <c r="G92" s="29">
        <f>+C92-(C$7+F92*C$8)</f>
        <v>0.25671689999580849</v>
      </c>
      <c r="H92" s="29"/>
      <c r="I92" s="29"/>
      <c r="K92" s="29">
        <f t="shared" si="24"/>
        <v>0.25671689999580849</v>
      </c>
      <c r="L92" s="29"/>
      <c r="M92" s="29"/>
      <c r="N92" s="29"/>
      <c r="O92" s="29">
        <f ca="1">+C$11+C$12*$F92</f>
        <v>0.2548480213730589</v>
      </c>
      <c r="P92" s="60">
        <f t="shared" si="27"/>
        <v>0.26816834609536921</v>
      </c>
      <c r="Q92" s="31">
        <f>+C92-15018.5</f>
        <v>42271.256099999999</v>
      </c>
      <c r="R92" s="29">
        <f t="shared" si="25"/>
        <v>1.3113561777114454E-4</v>
      </c>
      <c r="S92" s="29">
        <v>1</v>
      </c>
      <c r="T92" s="29">
        <f t="shared" si="26"/>
        <v>1.3113561777114454E-4</v>
      </c>
    </row>
    <row r="93" spans="1:22" x14ac:dyDescent="0.2">
      <c r="A93" s="68" t="s">
        <v>1</v>
      </c>
      <c r="B93" s="69" t="s">
        <v>41</v>
      </c>
      <c r="C93" s="70">
        <v>57661.697699999997</v>
      </c>
      <c r="D93" s="70">
        <v>1E-4</v>
      </c>
      <c r="E93" s="32">
        <f>+(C93-C$7)/C$8</f>
        <v>37959.796853911153</v>
      </c>
      <c r="F93" s="67">
        <f>ROUND(2*E93,0)/2-1</f>
        <v>37959</v>
      </c>
      <c r="G93" s="29">
        <f>+C93-(C$7+F93*C$8)</f>
        <v>0.26089769999816781</v>
      </c>
      <c r="H93" s="29"/>
      <c r="I93" s="29"/>
      <c r="K93" s="29">
        <f t="shared" si="24"/>
        <v>0.26089769999816781</v>
      </c>
      <c r="L93" s="29"/>
      <c r="M93" s="29"/>
      <c r="N93" s="29"/>
      <c r="O93" s="29">
        <f ca="1">+C$11+C$12*$F93</f>
        <v>0.26549791634899661</v>
      </c>
      <c r="P93" s="60">
        <f t="shared" si="27"/>
        <v>0.28191079796985341</v>
      </c>
      <c r="Q93" s="31">
        <f>+C93-15018.5</f>
        <v>42643.197699999997</v>
      </c>
      <c r="R93" s="29">
        <f t="shared" si="25"/>
        <v>4.4155028636765753E-4</v>
      </c>
      <c r="S93" s="29">
        <v>1</v>
      </c>
      <c r="T93" s="29">
        <f t="shared" si="26"/>
        <v>4.4155028636765753E-4</v>
      </c>
    </row>
    <row r="94" spans="1:22" x14ac:dyDescent="0.2">
      <c r="A94" s="71" t="s">
        <v>311</v>
      </c>
      <c r="B94" s="72" t="s">
        <v>41</v>
      </c>
      <c r="C94" s="73">
        <v>58768.699399999998</v>
      </c>
      <c r="D94" s="73">
        <v>2.9999999999999997E-4</v>
      </c>
      <c r="E94" s="32">
        <f>+(C94-C$7)/C$8</f>
        <v>41340.886968223589</v>
      </c>
      <c r="F94" s="67">
        <f>ROUND(2*E94,0)/2-1</f>
        <v>41340</v>
      </c>
      <c r="G94" s="29">
        <f>+C94-(C$7+F94*C$8)</f>
        <v>0.29040199999872129</v>
      </c>
      <c r="H94" s="29"/>
      <c r="I94" s="29"/>
      <c r="K94" s="29">
        <f>+G94</f>
        <v>0.29040199999872129</v>
      </c>
      <c r="L94" s="29"/>
      <c r="M94" s="29"/>
      <c r="N94" s="29"/>
      <c r="O94" s="29">
        <f ca="1">+C$11+C$12*$F94</f>
        <v>0.29719447877298033</v>
      </c>
      <c r="P94" s="60">
        <f>+D$11+D$12*F94+D$13*F94^2</f>
        <v>0.32474484592958208</v>
      </c>
      <c r="Q94" s="31">
        <f>+C94-15018.5</f>
        <v>43750.199399999998</v>
      </c>
      <c r="R94" s="29">
        <f>+(P94-G94)^2</f>
        <v>1.1794310666308414E-3</v>
      </c>
      <c r="S94" s="29">
        <v>1</v>
      </c>
      <c r="T94" s="29">
        <f>+S94*R94</f>
        <v>1.1794310666308414E-3</v>
      </c>
    </row>
    <row r="95" spans="1:22" x14ac:dyDescent="0.2">
      <c r="A95" s="12"/>
      <c r="B95" s="2"/>
      <c r="C95" s="39"/>
      <c r="D95" s="39"/>
    </row>
    <row r="96" spans="1:22" x14ac:dyDescent="0.2">
      <c r="A96" s="12"/>
      <c r="B96" s="2"/>
      <c r="C96" s="39"/>
      <c r="D96" s="39"/>
    </row>
    <row r="97" spans="1:4" x14ac:dyDescent="0.2">
      <c r="A97" s="12"/>
      <c r="B97" s="2"/>
      <c r="C97" s="39"/>
      <c r="D97" s="39"/>
    </row>
    <row r="98" spans="1:4" x14ac:dyDescent="0.2">
      <c r="A98" s="12"/>
      <c r="B98" s="2"/>
      <c r="C98" s="39"/>
      <c r="D98" s="39"/>
    </row>
    <row r="99" spans="1:4" x14ac:dyDescent="0.2">
      <c r="A99" s="12"/>
      <c r="B99" s="2"/>
      <c r="C99" s="39"/>
      <c r="D99" s="39"/>
    </row>
    <row r="100" spans="1:4" x14ac:dyDescent="0.2">
      <c r="A100" s="12"/>
      <c r="B100" s="2"/>
      <c r="C100" s="39"/>
      <c r="D100" s="39"/>
    </row>
    <row r="101" spans="1:4" x14ac:dyDescent="0.2">
      <c r="A101" s="12"/>
      <c r="B101" s="2"/>
      <c r="C101" s="39"/>
      <c r="D101" s="39"/>
    </row>
    <row r="102" spans="1:4" x14ac:dyDescent="0.2">
      <c r="A102" s="12"/>
      <c r="B102" s="2"/>
      <c r="C102" s="39"/>
      <c r="D102" s="39"/>
    </row>
    <row r="103" spans="1:4" x14ac:dyDescent="0.2">
      <c r="A103" s="12"/>
      <c r="B103" s="2"/>
      <c r="C103" s="39"/>
      <c r="D103" s="39"/>
    </row>
    <row r="104" spans="1:4" x14ac:dyDescent="0.2">
      <c r="A104" s="12"/>
      <c r="B104" s="2"/>
      <c r="C104" s="39"/>
      <c r="D104" s="39"/>
    </row>
    <row r="105" spans="1:4" x14ac:dyDescent="0.2">
      <c r="A105" s="12"/>
      <c r="B105" s="2"/>
      <c r="C105" s="39"/>
      <c r="D105" s="39"/>
    </row>
    <row r="106" spans="1:4" x14ac:dyDescent="0.2">
      <c r="A106" s="12"/>
      <c r="B106" s="2"/>
      <c r="C106" s="39"/>
      <c r="D106" s="39"/>
    </row>
    <row r="107" spans="1:4" x14ac:dyDescent="0.2">
      <c r="A107" s="12"/>
      <c r="B107" s="2"/>
      <c r="C107" s="39"/>
      <c r="D107" s="39"/>
    </row>
    <row r="108" spans="1:4" x14ac:dyDescent="0.2">
      <c r="A108" s="12"/>
      <c r="B108" s="2"/>
      <c r="C108" s="39"/>
      <c r="D108" s="39"/>
    </row>
    <row r="109" spans="1:4" x14ac:dyDescent="0.2">
      <c r="A109" s="12"/>
      <c r="B109" s="2"/>
      <c r="C109" s="39"/>
      <c r="D109" s="39"/>
    </row>
    <row r="110" spans="1:4" x14ac:dyDescent="0.2">
      <c r="A110" s="12"/>
      <c r="B110" s="2"/>
      <c r="C110" s="39"/>
      <c r="D110" s="39"/>
    </row>
    <row r="111" spans="1:4" x14ac:dyDescent="0.2">
      <c r="A111" s="12"/>
      <c r="B111" s="2"/>
      <c r="C111" s="39"/>
      <c r="D111" s="39"/>
    </row>
    <row r="112" spans="1:4" x14ac:dyDescent="0.2">
      <c r="A112" s="12"/>
      <c r="B112" s="2"/>
      <c r="C112" s="39"/>
      <c r="D112" s="39"/>
    </row>
    <row r="113" spans="1:4" x14ac:dyDescent="0.2">
      <c r="A113" s="12"/>
      <c r="B113" s="2"/>
      <c r="C113" s="39"/>
      <c r="D113" s="39"/>
    </row>
    <row r="114" spans="1:4" x14ac:dyDescent="0.2">
      <c r="A114" s="12"/>
      <c r="B114" s="2"/>
      <c r="C114" s="39"/>
      <c r="D114" s="39"/>
    </row>
    <row r="115" spans="1:4" x14ac:dyDescent="0.2">
      <c r="A115" s="12"/>
      <c r="B115" s="2"/>
      <c r="C115" s="39"/>
      <c r="D115" s="39"/>
    </row>
    <row r="116" spans="1:4" x14ac:dyDescent="0.2">
      <c r="A116" s="12"/>
      <c r="B116" s="2"/>
      <c r="C116" s="39"/>
      <c r="D116" s="39"/>
    </row>
    <row r="117" spans="1:4" x14ac:dyDescent="0.2">
      <c r="A117" s="12"/>
      <c r="B117" s="2"/>
      <c r="C117" s="39"/>
      <c r="D117" s="39"/>
    </row>
    <row r="118" spans="1:4" x14ac:dyDescent="0.2">
      <c r="A118" s="12"/>
      <c r="B118" s="2"/>
      <c r="C118" s="39"/>
      <c r="D118" s="39"/>
    </row>
    <row r="119" spans="1:4" x14ac:dyDescent="0.2">
      <c r="A119" s="12"/>
      <c r="B119" s="2"/>
      <c r="C119" s="39"/>
      <c r="D119" s="39"/>
    </row>
    <row r="120" spans="1:4" x14ac:dyDescent="0.2">
      <c r="A120" s="12"/>
      <c r="B120" s="2"/>
      <c r="C120" s="39"/>
      <c r="D120" s="39"/>
    </row>
    <row r="121" spans="1:4" x14ac:dyDescent="0.2">
      <c r="A121" s="12"/>
      <c r="B121" s="2"/>
      <c r="C121" s="39"/>
      <c r="D121" s="39"/>
    </row>
    <row r="122" spans="1:4" x14ac:dyDescent="0.2">
      <c r="A122" s="12"/>
      <c r="B122" s="2"/>
      <c r="C122" s="39"/>
      <c r="D122" s="39"/>
    </row>
    <row r="123" spans="1:4" x14ac:dyDescent="0.2">
      <c r="A123" s="12"/>
      <c r="B123" s="2"/>
      <c r="C123" s="39"/>
      <c r="D123" s="39"/>
    </row>
    <row r="124" spans="1:4" x14ac:dyDescent="0.2">
      <c r="A124" s="12"/>
      <c r="B124" s="2"/>
      <c r="C124" s="39"/>
      <c r="D124" s="39"/>
    </row>
    <row r="125" spans="1:4" x14ac:dyDescent="0.2">
      <c r="A125" s="12"/>
      <c r="B125" s="2"/>
      <c r="C125" s="39"/>
      <c r="D125" s="39"/>
    </row>
    <row r="126" spans="1:4" x14ac:dyDescent="0.2">
      <c r="A126" s="12"/>
      <c r="B126" s="2"/>
      <c r="C126" s="39"/>
      <c r="D126" s="39"/>
    </row>
    <row r="127" spans="1:4" x14ac:dyDescent="0.2">
      <c r="A127" s="12"/>
      <c r="B127" s="2"/>
      <c r="C127" s="39"/>
      <c r="D127" s="39"/>
    </row>
    <row r="128" spans="1:4" x14ac:dyDescent="0.2">
      <c r="A128" s="12"/>
      <c r="B128" s="2"/>
      <c r="C128" s="39"/>
      <c r="D128" s="39"/>
    </row>
    <row r="129" spans="1:4" x14ac:dyDescent="0.2">
      <c r="A129" s="12"/>
      <c r="B129" s="2"/>
      <c r="C129" s="39"/>
      <c r="D129" s="39"/>
    </row>
    <row r="130" spans="1:4" x14ac:dyDescent="0.2">
      <c r="A130" s="12"/>
      <c r="B130" s="2"/>
      <c r="C130" s="39"/>
      <c r="D130" s="39"/>
    </row>
    <row r="131" spans="1:4" x14ac:dyDescent="0.2">
      <c r="A131" s="12"/>
      <c r="B131" s="2"/>
      <c r="C131" s="39"/>
      <c r="D131" s="39"/>
    </row>
    <row r="132" spans="1:4" x14ac:dyDescent="0.2">
      <c r="A132" s="12"/>
      <c r="B132" s="2"/>
      <c r="C132" s="39"/>
      <c r="D132" s="39"/>
    </row>
    <row r="133" spans="1:4" x14ac:dyDescent="0.2">
      <c r="A133" s="12"/>
      <c r="B133" s="2"/>
      <c r="C133" s="39"/>
      <c r="D133" s="39"/>
    </row>
    <row r="134" spans="1:4" x14ac:dyDescent="0.2">
      <c r="A134" s="12"/>
      <c r="B134" s="2"/>
      <c r="C134" s="39"/>
      <c r="D134" s="39"/>
    </row>
    <row r="135" spans="1:4" x14ac:dyDescent="0.2">
      <c r="A135" s="12"/>
      <c r="B135" s="2"/>
      <c r="C135" s="39"/>
      <c r="D135" s="39"/>
    </row>
    <row r="136" spans="1:4" x14ac:dyDescent="0.2">
      <c r="A136" s="12"/>
      <c r="B136" s="2"/>
      <c r="C136" s="39"/>
      <c r="D136" s="39"/>
    </row>
    <row r="137" spans="1:4" x14ac:dyDescent="0.2">
      <c r="A137" s="12"/>
      <c r="B137" s="2"/>
      <c r="C137" s="39"/>
      <c r="D137" s="39"/>
    </row>
    <row r="138" spans="1:4" x14ac:dyDescent="0.2">
      <c r="A138" s="12"/>
      <c r="B138" s="2"/>
      <c r="C138" s="39"/>
      <c r="D138" s="39"/>
    </row>
    <row r="139" spans="1:4" x14ac:dyDescent="0.2">
      <c r="A139" s="12"/>
      <c r="B139" s="2"/>
      <c r="C139" s="39"/>
      <c r="D139" s="39"/>
    </row>
    <row r="140" spans="1:4" x14ac:dyDescent="0.2">
      <c r="A140" s="12"/>
      <c r="B140" s="2"/>
      <c r="C140" s="39"/>
      <c r="D140" s="39"/>
    </row>
    <row r="141" spans="1:4" x14ac:dyDescent="0.2">
      <c r="A141" s="12"/>
      <c r="B141" s="2"/>
      <c r="C141" s="39"/>
      <c r="D141" s="39"/>
    </row>
    <row r="142" spans="1:4" x14ac:dyDescent="0.2">
      <c r="A142" s="12"/>
      <c r="B142" s="2"/>
      <c r="C142" s="39"/>
      <c r="D142" s="39"/>
    </row>
    <row r="143" spans="1:4" x14ac:dyDescent="0.2">
      <c r="A143" s="12"/>
      <c r="B143" s="2"/>
      <c r="C143" s="39"/>
      <c r="D143" s="39"/>
    </row>
    <row r="144" spans="1:4" x14ac:dyDescent="0.2">
      <c r="A144" s="12"/>
      <c r="B144" s="2"/>
      <c r="C144" s="39"/>
      <c r="D144" s="39"/>
    </row>
    <row r="145" spans="1:4" x14ac:dyDescent="0.2">
      <c r="A145" s="12"/>
      <c r="B145" s="2"/>
      <c r="C145" s="39"/>
      <c r="D145" s="39"/>
    </row>
    <row r="146" spans="1:4" x14ac:dyDescent="0.2">
      <c r="A146" s="12"/>
      <c r="B146" s="2"/>
      <c r="C146" s="39"/>
      <c r="D146" s="39"/>
    </row>
    <row r="147" spans="1:4" x14ac:dyDescent="0.2">
      <c r="A147" s="12"/>
      <c r="B147" s="2"/>
      <c r="C147" s="39"/>
      <c r="D147" s="39"/>
    </row>
    <row r="148" spans="1:4" x14ac:dyDescent="0.2">
      <c r="B148" s="2"/>
      <c r="C148" s="39"/>
      <c r="D148" s="39"/>
    </row>
    <row r="149" spans="1:4" x14ac:dyDescent="0.2">
      <c r="B149" s="2"/>
      <c r="C149" s="39"/>
      <c r="D149" s="39"/>
    </row>
    <row r="150" spans="1:4" x14ac:dyDescent="0.2">
      <c r="B150" s="2"/>
      <c r="C150" s="39"/>
      <c r="D150" s="39"/>
    </row>
    <row r="151" spans="1:4" x14ac:dyDescent="0.2">
      <c r="B151" s="2"/>
      <c r="C151" s="39"/>
      <c r="D151" s="39"/>
    </row>
    <row r="152" spans="1:4" x14ac:dyDescent="0.2">
      <c r="B152" s="2"/>
      <c r="C152" s="39"/>
      <c r="D152" s="39"/>
    </row>
    <row r="153" spans="1:4" x14ac:dyDescent="0.2">
      <c r="B153" s="2"/>
      <c r="C153" s="39"/>
      <c r="D153" s="39"/>
    </row>
    <row r="154" spans="1:4" x14ac:dyDescent="0.2">
      <c r="B154" s="2"/>
      <c r="C154" s="39"/>
      <c r="D154" s="39"/>
    </row>
    <row r="155" spans="1:4" x14ac:dyDescent="0.2">
      <c r="B155" s="2"/>
      <c r="C155" s="39"/>
      <c r="D155" s="39"/>
    </row>
    <row r="156" spans="1:4" x14ac:dyDescent="0.2">
      <c r="B156" s="2"/>
      <c r="C156" s="39"/>
      <c r="D156" s="39"/>
    </row>
    <row r="157" spans="1:4" x14ac:dyDescent="0.2">
      <c r="B157" s="2"/>
      <c r="C157" s="39"/>
      <c r="D157" s="39"/>
    </row>
    <row r="158" spans="1:4" x14ac:dyDescent="0.2">
      <c r="B158" s="2"/>
      <c r="C158" s="39"/>
      <c r="D158" s="39"/>
    </row>
    <row r="159" spans="1:4" x14ac:dyDescent="0.2">
      <c r="B159" s="2"/>
      <c r="C159" s="39"/>
      <c r="D159" s="39"/>
    </row>
    <row r="160" spans="1:4" x14ac:dyDescent="0.2">
      <c r="B160" s="2"/>
      <c r="C160" s="39"/>
      <c r="D160" s="39"/>
    </row>
    <row r="161" spans="2:4" x14ac:dyDescent="0.2">
      <c r="B161" s="2"/>
      <c r="C161" s="39"/>
      <c r="D161" s="39"/>
    </row>
    <row r="162" spans="2:4" x14ac:dyDescent="0.2">
      <c r="B162" s="2"/>
      <c r="C162" s="39"/>
      <c r="D162" s="39"/>
    </row>
    <row r="163" spans="2:4" x14ac:dyDescent="0.2">
      <c r="B163" s="2"/>
      <c r="C163" s="39"/>
      <c r="D163" s="39"/>
    </row>
    <row r="164" spans="2:4" x14ac:dyDescent="0.2">
      <c r="B164" s="2"/>
      <c r="C164" s="39"/>
      <c r="D164" s="39"/>
    </row>
    <row r="165" spans="2:4" x14ac:dyDescent="0.2">
      <c r="B165" s="2"/>
      <c r="C165" s="39"/>
      <c r="D165" s="39"/>
    </row>
    <row r="166" spans="2:4" x14ac:dyDescent="0.2">
      <c r="B166" s="2"/>
      <c r="C166" s="39"/>
      <c r="D166" s="39"/>
    </row>
    <row r="167" spans="2:4" x14ac:dyDescent="0.2">
      <c r="B167" s="2"/>
      <c r="C167" s="39"/>
      <c r="D167" s="39"/>
    </row>
    <row r="168" spans="2:4" x14ac:dyDescent="0.2">
      <c r="B168" s="2"/>
      <c r="C168" s="39"/>
      <c r="D168" s="39"/>
    </row>
    <row r="169" spans="2:4" x14ac:dyDescent="0.2">
      <c r="B169" s="2"/>
      <c r="C169" s="39"/>
      <c r="D169" s="39"/>
    </row>
    <row r="170" spans="2:4" x14ac:dyDescent="0.2">
      <c r="B170" s="2"/>
      <c r="C170" s="39"/>
      <c r="D170" s="39"/>
    </row>
    <row r="171" spans="2:4" x14ac:dyDescent="0.2">
      <c r="B171" s="2"/>
      <c r="C171" s="39"/>
      <c r="D171" s="39"/>
    </row>
    <row r="172" spans="2:4" x14ac:dyDescent="0.2">
      <c r="B172" s="2"/>
      <c r="C172" s="39"/>
      <c r="D172" s="39"/>
    </row>
    <row r="173" spans="2:4" x14ac:dyDescent="0.2">
      <c r="B173" s="2"/>
      <c r="C173" s="39"/>
      <c r="D173" s="39"/>
    </row>
    <row r="174" spans="2:4" x14ac:dyDescent="0.2">
      <c r="B174" s="2"/>
      <c r="C174" s="39"/>
      <c r="D174" s="39"/>
    </row>
    <row r="175" spans="2:4" x14ac:dyDescent="0.2">
      <c r="B175" s="2"/>
      <c r="C175" s="39"/>
      <c r="D175" s="39"/>
    </row>
    <row r="176" spans="2:4" x14ac:dyDescent="0.2">
      <c r="B176" s="2"/>
      <c r="C176" s="39"/>
      <c r="D176" s="39"/>
    </row>
    <row r="177" spans="2:4" x14ac:dyDescent="0.2">
      <c r="B177" s="2"/>
      <c r="C177" s="39"/>
      <c r="D177" s="39"/>
    </row>
    <row r="178" spans="2:4" x14ac:dyDescent="0.2">
      <c r="B178" s="2"/>
      <c r="C178" s="39"/>
      <c r="D178" s="39"/>
    </row>
    <row r="179" spans="2:4" x14ac:dyDescent="0.2">
      <c r="B179" s="2"/>
      <c r="C179" s="39"/>
      <c r="D179" s="39"/>
    </row>
    <row r="180" spans="2:4" x14ac:dyDescent="0.2">
      <c r="B180" s="2"/>
      <c r="C180" s="39"/>
      <c r="D180" s="39"/>
    </row>
    <row r="181" spans="2:4" x14ac:dyDescent="0.2">
      <c r="B181" s="2"/>
      <c r="C181" s="39"/>
      <c r="D181" s="39"/>
    </row>
    <row r="182" spans="2:4" x14ac:dyDescent="0.2">
      <c r="B182" s="2"/>
      <c r="C182" s="39"/>
      <c r="D182" s="39"/>
    </row>
    <row r="183" spans="2:4" x14ac:dyDescent="0.2">
      <c r="B183" s="2"/>
      <c r="C183" s="39"/>
      <c r="D183" s="39"/>
    </row>
    <row r="184" spans="2:4" x14ac:dyDescent="0.2">
      <c r="B184" s="2"/>
      <c r="C184" s="39"/>
      <c r="D184" s="39"/>
    </row>
    <row r="185" spans="2:4" x14ac:dyDescent="0.2">
      <c r="B185" s="2"/>
      <c r="C185" s="39"/>
      <c r="D185" s="39"/>
    </row>
    <row r="186" spans="2:4" x14ac:dyDescent="0.2">
      <c r="B186" s="2"/>
      <c r="C186" s="39"/>
      <c r="D186" s="39"/>
    </row>
    <row r="187" spans="2:4" x14ac:dyDescent="0.2">
      <c r="B187" s="2"/>
      <c r="C187" s="39"/>
      <c r="D187" s="39"/>
    </row>
    <row r="188" spans="2:4" x14ac:dyDescent="0.2">
      <c r="B188" s="2"/>
      <c r="C188" s="39"/>
      <c r="D188" s="39"/>
    </row>
    <row r="189" spans="2:4" x14ac:dyDescent="0.2">
      <c r="B189" s="2"/>
      <c r="C189" s="39"/>
      <c r="D189" s="39"/>
    </row>
    <row r="190" spans="2:4" x14ac:dyDescent="0.2">
      <c r="B190" s="2"/>
      <c r="C190" s="39"/>
      <c r="D190" s="39"/>
    </row>
    <row r="191" spans="2:4" x14ac:dyDescent="0.2">
      <c r="B191" s="2"/>
      <c r="C191" s="39"/>
      <c r="D191" s="39"/>
    </row>
    <row r="192" spans="2:4" x14ac:dyDescent="0.2">
      <c r="B192" s="2"/>
      <c r="C192" s="39"/>
      <c r="D192" s="39"/>
    </row>
    <row r="193" spans="2:4" x14ac:dyDescent="0.2">
      <c r="B193" s="2"/>
      <c r="C193" s="39"/>
      <c r="D193" s="39"/>
    </row>
    <row r="194" spans="2:4" x14ac:dyDescent="0.2">
      <c r="B194" s="2"/>
      <c r="C194" s="39"/>
      <c r="D194" s="39"/>
    </row>
    <row r="195" spans="2:4" x14ac:dyDescent="0.2">
      <c r="B195" s="2"/>
      <c r="C195" s="39"/>
      <c r="D195" s="39"/>
    </row>
    <row r="196" spans="2:4" x14ac:dyDescent="0.2">
      <c r="B196" s="2"/>
      <c r="C196" s="39"/>
      <c r="D196" s="39"/>
    </row>
    <row r="197" spans="2:4" x14ac:dyDescent="0.2">
      <c r="B197" s="2"/>
      <c r="C197" s="39"/>
      <c r="D197" s="39"/>
    </row>
    <row r="198" spans="2:4" x14ac:dyDescent="0.2">
      <c r="B198" s="2"/>
      <c r="C198" s="39"/>
      <c r="D198" s="39"/>
    </row>
    <row r="199" spans="2:4" x14ac:dyDescent="0.2">
      <c r="B199" s="2"/>
      <c r="C199" s="39"/>
      <c r="D199" s="39"/>
    </row>
    <row r="200" spans="2:4" x14ac:dyDescent="0.2">
      <c r="B200" s="2"/>
      <c r="C200" s="39"/>
      <c r="D200" s="39"/>
    </row>
    <row r="201" spans="2:4" x14ac:dyDescent="0.2">
      <c r="B201" s="2"/>
      <c r="C201" s="39"/>
      <c r="D201" s="39"/>
    </row>
    <row r="202" spans="2:4" x14ac:dyDescent="0.2">
      <c r="B202" s="2"/>
      <c r="C202" s="39"/>
      <c r="D202" s="39"/>
    </row>
    <row r="203" spans="2:4" x14ac:dyDescent="0.2">
      <c r="B203" s="2"/>
      <c r="C203" s="39"/>
      <c r="D203" s="39"/>
    </row>
    <row r="204" spans="2:4" x14ac:dyDescent="0.2">
      <c r="B204" s="2"/>
      <c r="C204" s="39"/>
      <c r="D204" s="39"/>
    </row>
    <row r="205" spans="2:4" x14ac:dyDescent="0.2">
      <c r="B205" s="2"/>
      <c r="C205" s="39"/>
      <c r="D205" s="39"/>
    </row>
    <row r="206" spans="2:4" x14ac:dyDescent="0.2">
      <c r="B206" s="2"/>
      <c r="C206" s="39"/>
      <c r="D206" s="39"/>
    </row>
    <row r="207" spans="2:4" x14ac:dyDescent="0.2">
      <c r="B207" s="2"/>
      <c r="C207" s="39"/>
      <c r="D207" s="39"/>
    </row>
    <row r="208" spans="2:4" x14ac:dyDescent="0.2">
      <c r="B208" s="2"/>
      <c r="C208" s="39"/>
      <c r="D208" s="39"/>
    </row>
    <row r="209" spans="2:4" x14ac:dyDescent="0.2">
      <c r="B209" s="2"/>
      <c r="C209" s="39"/>
      <c r="D209" s="39"/>
    </row>
    <row r="210" spans="2:4" x14ac:dyDescent="0.2">
      <c r="B210" s="2"/>
      <c r="C210" s="39"/>
      <c r="D210" s="39"/>
    </row>
    <row r="211" spans="2:4" x14ac:dyDescent="0.2">
      <c r="B211" s="2"/>
      <c r="C211" s="39"/>
      <c r="D211" s="39"/>
    </row>
    <row r="212" spans="2:4" x14ac:dyDescent="0.2">
      <c r="B212" s="2"/>
      <c r="C212" s="39"/>
      <c r="D212" s="39"/>
    </row>
    <row r="213" spans="2:4" x14ac:dyDescent="0.2">
      <c r="B213" s="2"/>
      <c r="C213" s="39"/>
      <c r="D213" s="39"/>
    </row>
    <row r="214" spans="2:4" x14ac:dyDescent="0.2">
      <c r="B214" s="2"/>
      <c r="C214" s="39"/>
      <c r="D214" s="39"/>
    </row>
    <row r="215" spans="2:4" x14ac:dyDescent="0.2">
      <c r="B215" s="2"/>
      <c r="C215" s="39"/>
      <c r="D215" s="39"/>
    </row>
    <row r="216" spans="2:4" x14ac:dyDescent="0.2">
      <c r="B216" s="2"/>
      <c r="C216" s="39"/>
      <c r="D216" s="39"/>
    </row>
    <row r="217" spans="2:4" x14ac:dyDescent="0.2">
      <c r="B217" s="2"/>
      <c r="C217" s="39"/>
      <c r="D217" s="39"/>
    </row>
    <row r="218" spans="2:4" x14ac:dyDescent="0.2">
      <c r="B218" s="2"/>
      <c r="C218" s="39"/>
      <c r="D218" s="39"/>
    </row>
    <row r="219" spans="2:4" x14ac:dyDescent="0.2">
      <c r="B219" s="2"/>
      <c r="C219" s="39"/>
      <c r="D219" s="39"/>
    </row>
    <row r="220" spans="2:4" x14ac:dyDescent="0.2">
      <c r="B220" s="2"/>
      <c r="C220" s="39"/>
      <c r="D220" s="39"/>
    </row>
    <row r="221" spans="2:4" x14ac:dyDescent="0.2">
      <c r="B221" s="2"/>
      <c r="C221" s="39"/>
      <c r="D221" s="39"/>
    </row>
    <row r="222" spans="2:4" x14ac:dyDescent="0.2">
      <c r="B222" s="2"/>
      <c r="C222" s="39"/>
      <c r="D222" s="39"/>
    </row>
    <row r="223" spans="2:4" x14ac:dyDescent="0.2">
      <c r="B223" s="2"/>
      <c r="C223" s="39"/>
      <c r="D223" s="39"/>
    </row>
    <row r="224" spans="2:4" x14ac:dyDescent="0.2">
      <c r="B224" s="2"/>
      <c r="C224" s="39"/>
      <c r="D224" s="39"/>
    </row>
    <row r="225" spans="2:4" x14ac:dyDescent="0.2">
      <c r="B225" s="2"/>
      <c r="C225" s="39"/>
      <c r="D225" s="39"/>
    </row>
    <row r="226" spans="2:4" x14ac:dyDescent="0.2">
      <c r="B226" s="2"/>
      <c r="C226" s="39"/>
      <c r="D226" s="39"/>
    </row>
    <row r="227" spans="2:4" x14ac:dyDescent="0.2">
      <c r="B227" s="2"/>
      <c r="C227" s="39"/>
      <c r="D227" s="39"/>
    </row>
    <row r="228" spans="2:4" x14ac:dyDescent="0.2">
      <c r="B228" s="2"/>
      <c r="C228" s="39"/>
      <c r="D228" s="39"/>
    </row>
    <row r="229" spans="2:4" x14ac:dyDescent="0.2">
      <c r="B229" s="2"/>
      <c r="C229" s="39"/>
      <c r="D229" s="39"/>
    </row>
    <row r="230" spans="2:4" x14ac:dyDescent="0.2">
      <c r="B230" s="2"/>
      <c r="C230" s="39"/>
      <c r="D230" s="39"/>
    </row>
    <row r="231" spans="2:4" x14ac:dyDescent="0.2">
      <c r="B231" s="2"/>
      <c r="C231" s="39"/>
      <c r="D231" s="39"/>
    </row>
    <row r="232" spans="2:4" x14ac:dyDescent="0.2">
      <c r="B232" s="2"/>
      <c r="C232" s="39"/>
      <c r="D232" s="39"/>
    </row>
    <row r="233" spans="2:4" x14ac:dyDescent="0.2">
      <c r="B233" s="2"/>
      <c r="C233" s="39"/>
      <c r="D233" s="39"/>
    </row>
    <row r="234" spans="2:4" x14ac:dyDescent="0.2">
      <c r="B234" s="2"/>
      <c r="C234" s="39"/>
      <c r="D234" s="39"/>
    </row>
    <row r="235" spans="2:4" x14ac:dyDescent="0.2">
      <c r="B235" s="2"/>
      <c r="C235" s="39"/>
      <c r="D235" s="39"/>
    </row>
    <row r="236" spans="2:4" x14ac:dyDescent="0.2">
      <c r="B236" s="2"/>
      <c r="C236" s="39"/>
      <c r="D236" s="39"/>
    </row>
    <row r="237" spans="2:4" x14ac:dyDescent="0.2">
      <c r="B237" s="2"/>
      <c r="C237" s="39"/>
      <c r="D237" s="39"/>
    </row>
    <row r="238" spans="2:4" x14ac:dyDescent="0.2">
      <c r="B238" s="2"/>
      <c r="C238" s="39"/>
      <c r="D238" s="39"/>
    </row>
    <row r="239" spans="2:4" x14ac:dyDescent="0.2">
      <c r="B239" s="2"/>
      <c r="C239" s="39"/>
      <c r="D239" s="39"/>
    </row>
    <row r="240" spans="2:4" x14ac:dyDescent="0.2">
      <c r="B240" s="2"/>
      <c r="C240" s="39"/>
      <c r="D240" s="39"/>
    </row>
    <row r="241" spans="2:4" x14ac:dyDescent="0.2">
      <c r="B241" s="2"/>
      <c r="C241" s="39"/>
      <c r="D241" s="39"/>
    </row>
    <row r="242" spans="2:4" x14ac:dyDescent="0.2">
      <c r="B242" s="2"/>
      <c r="C242" s="39"/>
      <c r="D242" s="39"/>
    </row>
    <row r="243" spans="2:4" x14ac:dyDescent="0.2">
      <c r="B243" s="2"/>
      <c r="C243" s="39"/>
      <c r="D243" s="39"/>
    </row>
    <row r="244" spans="2:4" x14ac:dyDescent="0.2">
      <c r="B244" s="2"/>
      <c r="C244" s="39"/>
      <c r="D244" s="39"/>
    </row>
    <row r="245" spans="2:4" x14ac:dyDescent="0.2">
      <c r="B245" s="2"/>
      <c r="C245" s="39"/>
      <c r="D245" s="39"/>
    </row>
    <row r="246" spans="2:4" x14ac:dyDescent="0.2">
      <c r="B246" s="2"/>
      <c r="C246" s="39"/>
      <c r="D246" s="39"/>
    </row>
    <row r="247" spans="2:4" x14ac:dyDescent="0.2">
      <c r="B247" s="2"/>
      <c r="C247" s="39"/>
      <c r="D247" s="39"/>
    </row>
    <row r="248" spans="2:4" x14ac:dyDescent="0.2">
      <c r="B248" s="2"/>
      <c r="C248" s="39"/>
      <c r="D248" s="39"/>
    </row>
    <row r="249" spans="2:4" x14ac:dyDescent="0.2">
      <c r="B249" s="2"/>
      <c r="C249" s="39"/>
      <c r="D249" s="39"/>
    </row>
    <row r="250" spans="2:4" x14ac:dyDescent="0.2">
      <c r="B250" s="2"/>
      <c r="C250" s="39"/>
      <c r="D250" s="39"/>
    </row>
    <row r="251" spans="2:4" x14ac:dyDescent="0.2">
      <c r="B251" s="2"/>
      <c r="C251" s="39"/>
      <c r="D251" s="39"/>
    </row>
    <row r="252" spans="2:4" x14ac:dyDescent="0.2">
      <c r="B252" s="2"/>
      <c r="C252" s="39"/>
      <c r="D252" s="39"/>
    </row>
    <row r="253" spans="2:4" x14ac:dyDescent="0.2">
      <c r="B253" s="2"/>
      <c r="C253" s="39"/>
      <c r="D253" s="39"/>
    </row>
    <row r="254" spans="2:4" x14ac:dyDescent="0.2">
      <c r="B254" s="2"/>
      <c r="C254" s="39"/>
      <c r="D254" s="39"/>
    </row>
    <row r="255" spans="2:4" x14ac:dyDescent="0.2">
      <c r="B255" s="2"/>
      <c r="C255" s="39"/>
      <c r="D255" s="39"/>
    </row>
    <row r="256" spans="2:4" x14ac:dyDescent="0.2">
      <c r="B256" s="2"/>
      <c r="C256" s="39"/>
      <c r="D256" s="39"/>
    </row>
    <row r="257" spans="2:4" x14ac:dyDescent="0.2">
      <c r="B257" s="2"/>
      <c r="C257" s="39"/>
      <c r="D257" s="39"/>
    </row>
    <row r="258" spans="2:4" x14ac:dyDescent="0.2">
      <c r="B258" s="2"/>
      <c r="C258" s="39"/>
      <c r="D258" s="39"/>
    </row>
    <row r="259" spans="2:4" x14ac:dyDescent="0.2">
      <c r="B259" s="2"/>
      <c r="C259" s="39"/>
      <c r="D259" s="39"/>
    </row>
    <row r="260" spans="2:4" x14ac:dyDescent="0.2">
      <c r="B260" s="2"/>
      <c r="C260" s="39"/>
      <c r="D260" s="39"/>
    </row>
    <row r="261" spans="2:4" x14ac:dyDescent="0.2">
      <c r="B261" s="2"/>
      <c r="C261" s="39"/>
      <c r="D261" s="39"/>
    </row>
    <row r="262" spans="2:4" x14ac:dyDescent="0.2">
      <c r="B262" s="2"/>
      <c r="C262" s="39"/>
      <c r="D262" s="39"/>
    </row>
    <row r="263" spans="2:4" x14ac:dyDescent="0.2">
      <c r="B263" s="2"/>
      <c r="C263" s="39"/>
      <c r="D263" s="39"/>
    </row>
    <row r="264" spans="2:4" x14ac:dyDescent="0.2">
      <c r="B264" s="2"/>
      <c r="C264" s="39"/>
      <c r="D264" s="39"/>
    </row>
    <row r="265" spans="2:4" x14ac:dyDescent="0.2">
      <c r="B265" s="2"/>
      <c r="C265" s="39"/>
      <c r="D265" s="39"/>
    </row>
    <row r="266" spans="2:4" x14ac:dyDescent="0.2">
      <c r="B266" s="2"/>
      <c r="C266" s="39"/>
      <c r="D266" s="39"/>
    </row>
    <row r="267" spans="2:4" x14ac:dyDescent="0.2">
      <c r="B267" s="2"/>
      <c r="C267" s="39"/>
      <c r="D267" s="39"/>
    </row>
    <row r="268" spans="2:4" x14ac:dyDescent="0.2">
      <c r="B268" s="2"/>
      <c r="C268" s="39"/>
      <c r="D268" s="39"/>
    </row>
    <row r="269" spans="2:4" x14ac:dyDescent="0.2">
      <c r="B269" s="2"/>
      <c r="C269" s="39"/>
      <c r="D269" s="39"/>
    </row>
    <row r="270" spans="2:4" x14ac:dyDescent="0.2">
      <c r="B270" s="2"/>
      <c r="C270" s="39"/>
      <c r="D270" s="39"/>
    </row>
    <row r="271" spans="2:4" x14ac:dyDescent="0.2">
      <c r="B271" s="2"/>
      <c r="C271" s="39"/>
      <c r="D271" s="39"/>
    </row>
    <row r="272" spans="2:4" x14ac:dyDescent="0.2">
      <c r="B272" s="2"/>
      <c r="C272" s="39"/>
      <c r="D272" s="39"/>
    </row>
  </sheetData>
  <protectedRanges>
    <protectedRange sqref="A94:D94" name="Range1"/>
  </protectedRanges>
  <phoneticPr fontId="8" type="noConversion"/>
  <hyperlinks>
    <hyperlink ref="H64823" r:id="rId1" display="http://vsolj.cetus-net.org/bulletin.html"/>
    <hyperlink ref="H64816" r:id="rId2" display="http://vsolj.cetus-net.org/bulletin.html"/>
    <hyperlink ref="AP2313" r:id="rId3" display="http://cdsbib.u-strasbg.fr/cgi-bin/cdsbib?1990RMxAA..21..381G"/>
    <hyperlink ref="AP2316" r:id="rId4" display="http://cdsbib.u-strasbg.fr/cgi-bin/cdsbib?1990RMxAA..21..381G"/>
    <hyperlink ref="AP2314" r:id="rId5" display="http://cdsbib.u-strasbg.fr/cgi-bin/cdsbib?1990RMxAA..21..381G"/>
    <hyperlink ref="AP2292" r:id="rId6" display="http://cdsbib.u-strasbg.fr/cgi-bin/cdsbib?1990RMxAA..21..381G"/>
    <hyperlink ref="I64823" r:id="rId7" display="http://vsolj.cetus-net.org/bulletin.html"/>
    <hyperlink ref="AQ2426" r:id="rId8" display="http://cdsbib.u-strasbg.fr/cgi-bin/cdsbib?1990RMxAA..21..381G"/>
    <hyperlink ref="AQ695" r:id="rId9" display="http://cdsbib.u-strasbg.fr/cgi-bin/cdsbib?1990RMxAA..21..381G"/>
    <hyperlink ref="AQ2427" r:id="rId10" display="http://cdsbib.u-strasbg.fr/cgi-bin/cdsbib?1990RMxAA..21..381G"/>
    <hyperlink ref="H64820" r:id="rId11" display="https://www.aavso.org/ejaavso"/>
  </hyperlinks>
  <pageMargins left="0.75" right="0.75" top="1" bottom="1" header="0.5" footer="0.5"/>
  <headerFooter alignWithMargins="0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1"/>
  <sheetViews>
    <sheetView topLeftCell="A38" workbookViewId="0">
      <selection activeCell="A24" sqref="A24:D79"/>
    </sheetView>
  </sheetViews>
  <sheetFormatPr defaultRowHeight="12.75" x14ac:dyDescent="0.2"/>
  <cols>
    <col min="1" max="1" width="19.7109375" style="39" customWidth="1"/>
    <col min="2" max="2" width="4.42578125" style="10" customWidth="1"/>
    <col min="3" max="3" width="12.7109375" style="39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39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52</v>
      </c>
      <c r="I1" s="40" t="s">
        <v>53</v>
      </c>
      <c r="J1" s="41" t="s">
        <v>54</v>
      </c>
    </row>
    <row r="2" spans="1:16" x14ac:dyDescent="0.2">
      <c r="I2" s="42" t="s">
        <v>55</v>
      </c>
      <c r="J2" s="43" t="s">
        <v>56</v>
      </c>
    </row>
    <row r="3" spans="1:16" x14ac:dyDescent="0.2">
      <c r="A3" s="44" t="s">
        <v>57</v>
      </c>
      <c r="I3" s="42" t="s">
        <v>58</v>
      </c>
      <c r="J3" s="43" t="s">
        <v>59</v>
      </c>
    </row>
    <row r="4" spans="1:16" x14ac:dyDescent="0.2">
      <c r="I4" s="42" t="s">
        <v>60</v>
      </c>
      <c r="J4" s="43" t="s">
        <v>59</v>
      </c>
    </row>
    <row r="5" spans="1:16" ht="13.5" thickBot="1" x14ac:dyDescent="0.25">
      <c r="I5" s="45" t="s">
        <v>61</v>
      </c>
      <c r="J5" s="46" t="s">
        <v>62</v>
      </c>
    </row>
    <row r="10" spans="1:16" ht="13.5" thickBot="1" x14ac:dyDescent="0.25"/>
    <row r="11" spans="1:16" ht="12.75" customHeight="1" thickBot="1" x14ac:dyDescent="0.25">
      <c r="A11" s="39" t="str">
        <f t="shared" ref="A11:A42" si="0">P11</f>
        <v> PZ 22.340 </v>
      </c>
      <c r="B11" s="2" t="str">
        <f t="shared" ref="B11:B42" si="1">IF(H11=INT(H11),"I","II")</f>
        <v>I</v>
      </c>
      <c r="C11" s="39">
        <f t="shared" ref="C11:C42" si="2">1*G11</f>
        <v>45233.292000000001</v>
      </c>
      <c r="D11" s="10" t="str">
        <f t="shared" ref="D11:D42" si="3">VLOOKUP(F11,I$1:J$5,2,FALSE)</f>
        <v>vis</v>
      </c>
      <c r="E11" s="47" t="e">
        <f>VLOOKUP(C11,Active!C$21:E$973,3,FALSE)</f>
        <v>#N/A</v>
      </c>
      <c r="F11" s="2" t="s">
        <v>61</v>
      </c>
      <c r="G11" s="10" t="str">
        <f t="shared" ref="G11:G42" si="4">MID(I11,3,LEN(I11)-3)</f>
        <v>45233.292</v>
      </c>
      <c r="H11" s="39">
        <f t="shared" ref="H11:H42" si="5">1*K11</f>
        <v>-25726</v>
      </c>
      <c r="I11" s="48" t="s">
        <v>151</v>
      </c>
      <c r="J11" s="49" t="s">
        <v>152</v>
      </c>
      <c r="K11" s="48">
        <v>-25726</v>
      </c>
      <c r="L11" s="48" t="s">
        <v>137</v>
      </c>
      <c r="M11" s="49" t="s">
        <v>66</v>
      </c>
      <c r="N11" s="49"/>
      <c r="O11" s="50" t="s">
        <v>67</v>
      </c>
      <c r="P11" s="50" t="s">
        <v>68</v>
      </c>
    </row>
    <row r="12" spans="1:16" ht="12.75" customHeight="1" thickBot="1" x14ac:dyDescent="0.25">
      <c r="A12" s="39" t="str">
        <f t="shared" si="0"/>
        <v> BBS 81 </v>
      </c>
      <c r="B12" s="2" t="str">
        <f t="shared" si="1"/>
        <v>I</v>
      </c>
      <c r="C12" s="39">
        <f t="shared" si="2"/>
        <v>46644.455000000002</v>
      </c>
      <c r="D12" s="10" t="str">
        <f t="shared" si="3"/>
        <v>vis</v>
      </c>
      <c r="E12" s="47">
        <f>VLOOKUP(C12,Active!C$21:E$973,3,FALSE)</f>
        <v>4310.0830549614147</v>
      </c>
      <c r="F12" s="2" t="s">
        <v>61</v>
      </c>
      <c r="G12" s="10" t="str">
        <f t="shared" si="4"/>
        <v>46644.455</v>
      </c>
      <c r="H12" s="39">
        <f t="shared" si="5"/>
        <v>-21416</v>
      </c>
      <c r="I12" s="48" t="s">
        <v>175</v>
      </c>
      <c r="J12" s="49" t="s">
        <v>176</v>
      </c>
      <c r="K12" s="48">
        <v>-21416</v>
      </c>
      <c r="L12" s="48" t="s">
        <v>177</v>
      </c>
      <c r="M12" s="49" t="s">
        <v>178</v>
      </c>
      <c r="N12" s="49"/>
      <c r="O12" s="50" t="s">
        <v>179</v>
      </c>
      <c r="P12" s="50" t="s">
        <v>180</v>
      </c>
    </row>
    <row r="13" spans="1:16" ht="12.75" customHeight="1" thickBot="1" x14ac:dyDescent="0.25">
      <c r="A13" s="39" t="str">
        <f t="shared" si="0"/>
        <v>IBVS 4888 </v>
      </c>
      <c r="B13" s="2" t="str">
        <f t="shared" si="1"/>
        <v>I</v>
      </c>
      <c r="C13" s="39">
        <f t="shared" si="2"/>
        <v>51036.390800000001</v>
      </c>
      <c r="D13" s="10" t="str">
        <f t="shared" si="3"/>
        <v>vis</v>
      </c>
      <c r="E13" s="47">
        <f>VLOOKUP(C13,Active!C$21:E$973,3,FALSE)</f>
        <v>17724.272677321409</v>
      </c>
      <c r="F13" s="2" t="s">
        <v>61</v>
      </c>
      <c r="G13" s="10" t="str">
        <f t="shared" si="4"/>
        <v>51036.3908</v>
      </c>
      <c r="H13" s="39">
        <f t="shared" si="5"/>
        <v>-8002</v>
      </c>
      <c r="I13" s="48" t="s">
        <v>195</v>
      </c>
      <c r="J13" s="49" t="s">
        <v>196</v>
      </c>
      <c r="K13" s="48">
        <v>-8002</v>
      </c>
      <c r="L13" s="48" t="s">
        <v>197</v>
      </c>
      <c r="M13" s="49" t="s">
        <v>198</v>
      </c>
      <c r="N13" s="49" t="s">
        <v>199</v>
      </c>
      <c r="O13" s="50" t="s">
        <v>200</v>
      </c>
      <c r="P13" s="51" t="s">
        <v>201</v>
      </c>
    </row>
    <row r="14" spans="1:16" ht="12.75" customHeight="1" thickBot="1" x14ac:dyDescent="0.25">
      <c r="A14" s="39" t="str">
        <f t="shared" si="0"/>
        <v>IBVS 5263 </v>
      </c>
      <c r="B14" s="2" t="str">
        <f t="shared" si="1"/>
        <v>I</v>
      </c>
      <c r="C14" s="39">
        <f t="shared" si="2"/>
        <v>51363.479800000001</v>
      </c>
      <c r="D14" s="10" t="str">
        <f t="shared" si="3"/>
        <v>vis</v>
      </c>
      <c r="E14" s="47">
        <f>VLOOKUP(C14,Active!C$21:E$973,3,FALSE)</f>
        <v>18723.29317060551</v>
      </c>
      <c r="F14" s="2" t="s">
        <v>61</v>
      </c>
      <c r="G14" s="10" t="str">
        <f t="shared" si="4"/>
        <v>51363.4798</v>
      </c>
      <c r="H14" s="39">
        <f t="shared" si="5"/>
        <v>-7003</v>
      </c>
      <c r="I14" s="48" t="s">
        <v>202</v>
      </c>
      <c r="J14" s="49" t="s">
        <v>203</v>
      </c>
      <c r="K14" s="48">
        <v>-7003</v>
      </c>
      <c r="L14" s="48" t="s">
        <v>204</v>
      </c>
      <c r="M14" s="49" t="s">
        <v>198</v>
      </c>
      <c r="N14" s="49" t="s">
        <v>199</v>
      </c>
      <c r="O14" s="50" t="s">
        <v>200</v>
      </c>
      <c r="P14" s="51" t="s">
        <v>205</v>
      </c>
    </row>
    <row r="15" spans="1:16" ht="12.75" customHeight="1" thickBot="1" x14ac:dyDescent="0.25">
      <c r="A15" s="39" t="str">
        <f t="shared" si="0"/>
        <v> BBS 129 </v>
      </c>
      <c r="B15" s="2" t="str">
        <f t="shared" si="1"/>
        <v>I</v>
      </c>
      <c r="C15" s="39">
        <f t="shared" si="2"/>
        <v>52530.400000000001</v>
      </c>
      <c r="D15" s="10" t="str">
        <f t="shared" si="3"/>
        <v>vis</v>
      </c>
      <c r="E15" s="47">
        <f>VLOOKUP(C15,Active!C$21:E$973,3,FALSE)</f>
        <v>22287.390996662591</v>
      </c>
      <c r="F15" s="2" t="s">
        <v>61</v>
      </c>
      <c r="G15" s="10" t="str">
        <f t="shared" si="4"/>
        <v>52530.400</v>
      </c>
      <c r="H15" s="39">
        <f t="shared" si="5"/>
        <v>-3439</v>
      </c>
      <c r="I15" s="48" t="s">
        <v>234</v>
      </c>
      <c r="J15" s="49" t="s">
        <v>235</v>
      </c>
      <c r="K15" s="48">
        <v>-3439</v>
      </c>
      <c r="L15" s="48" t="s">
        <v>236</v>
      </c>
      <c r="M15" s="49" t="s">
        <v>178</v>
      </c>
      <c r="N15" s="49"/>
      <c r="O15" s="50" t="s">
        <v>179</v>
      </c>
      <c r="P15" s="50" t="s">
        <v>237</v>
      </c>
    </row>
    <row r="16" spans="1:16" ht="12.75" customHeight="1" thickBot="1" x14ac:dyDescent="0.25">
      <c r="A16" s="39" t="str">
        <f t="shared" si="0"/>
        <v> BBS 130 </v>
      </c>
      <c r="B16" s="2" t="str">
        <f t="shared" si="1"/>
        <v>I</v>
      </c>
      <c r="C16" s="39">
        <f t="shared" si="2"/>
        <v>52871.553999999996</v>
      </c>
      <c r="D16" s="10" t="str">
        <f t="shared" si="3"/>
        <v>vis</v>
      </c>
      <c r="E16" s="47">
        <f>VLOOKUP(C16,Active!C$21:E$973,3,FALSE)</f>
        <v>23329.369899547859</v>
      </c>
      <c r="F16" s="2" t="s">
        <v>61</v>
      </c>
      <c r="G16" s="10" t="str">
        <f t="shared" si="4"/>
        <v>52871.554</v>
      </c>
      <c r="H16" s="39">
        <f t="shared" si="5"/>
        <v>-2397</v>
      </c>
      <c r="I16" s="48" t="s">
        <v>257</v>
      </c>
      <c r="J16" s="49" t="s">
        <v>258</v>
      </c>
      <c r="K16" s="48">
        <v>-2397</v>
      </c>
      <c r="L16" s="48" t="s">
        <v>259</v>
      </c>
      <c r="M16" s="49" t="s">
        <v>178</v>
      </c>
      <c r="N16" s="49"/>
      <c r="O16" s="50" t="s">
        <v>179</v>
      </c>
      <c r="P16" s="50" t="s">
        <v>260</v>
      </c>
    </row>
    <row r="17" spans="1:16" ht="12.75" customHeight="1" thickBot="1" x14ac:dyDescent="0.25">
      <c r="A17" s="39" t="str">
        <f t="shared" si="0"/>
        <v>OEJV 0003 </v>
      </c>
      <c r="B17" s="2" t="str">
        <f t="shared" si="1"/>
        <v>I</v>
      </c>
      <c r="C17" s="39">
        <f t="shared" si="2"/>
        <v>53204.542000000001</v>
      </c>
      <c r="D17" s="10" t="str">
        <f t="shared" si="3"/>
        <v>vis</v>
      </c>
      <c r="E17" s="47">
        <f>VLOOKUP(C17,Active!C$21:E$973,3,FALSE)</f>
        <v>24346.407574363249</v>
      </c>
      <c r="F17" s="2" t="s">
        <v>61</v>
      </c>
      <c r="G17" s="10" t="str">
        <f t="shared" si="4"/>
        <v>53204.542</v>
      </c>
      <c r="H17" s="39">
        <f t="shared" si="5"/>
        <v>-1380</v>
      </c>
      <c r="I17" s="48" t="s">
        <v>261</v>
      </c>
      <c r="J17" s="49" t="s">
        <v>262</v>
      </c>
      <c r="K17" s="48">
        <v>-1380</v>
      </c>
      <c r="L17" s="48" t="s">
        <v>263</v>
      </c>
      <c r="M17" s="49" t="s">
        <v>178</v>
      </c>
      <c r="N17" s="49"/>
      <c r="O17" s="50" t="s">
        <v>179</v>
      </c>
      <c r="P17" s="51" t="s">
        <v>264</v>
      </c>
    </row>
    <row r="18" spans="1:16" ht="12.75" customHeight="1" thickBot="1" x14ac:dyDescent="0.25">
      <c r="A18" s="39" t="str">
        <f t="shared" si="0"/>
        <v>OEJV 0003 </v>
      </c>
      <c r="B18" s="2" t="str">
        <f t="shared" si="1"/>
        <v>I</v>
      </c>
      <c r="C18" s="39">
        <f t="shared" si="2"/>
        <v>53591.555</v>
      </c>
      <c r="D18" s="10" t="str">
        <f t="shared" si="3"/>
        <v>vis</v>
      </c>
      <c r="E18" s="47">
        <f>VLOOKUP(C18,Active!C$21:E$973,3,FALSE)</f>
        <v>25528.452577916898</v>
      </c>
      <c r="F18" s="2" t="s">
        <v>61</v>
      </c>
      <c r="G18" s="10" t="str">
        <f t="shared" si="4"/>
        <v>53591.555</v>
      </c>
      <c r="H18" s="39">
        <f t="shared" si="5"/>
        <v>-198</v>
      </c>
      <c r="I18" s="48" t="s">
        <v>265</v>
      </c>
      <c r="J18" s="49" t="s">
        <v>266</v>
      </c>
      <c r="K18" s="48">
        <v>-198</v>
      </c>
      <c r="L18" s="48" t="s">
        <v>212</v>
      </c>
      <c r="M18" s="49" t="s">
        <v>178</v>
      </c>
      <c r="N18" s="49"/>
      <c r="O18" s="50" t="s">
        <v>179</v>
      </c>
      <c r="P18" s="51" t="s">
        <v>264</v>
      </c>
    </row>
    <row r="19" spans="1:16" ht="12.75" customHeight="1" thickBot="1" x14ac:dyDescent="0.25">
      <c r="A19" s="39" t="str">
        <f t="shared" si="0"/>
        <v>IBVS 5741 </v>
      </c>
      <c r="B19" s="2" t="str">
        <f t="shared" si="1"/>
        <v>I</v>
      </c>
      <c r="C19" s="39">
        <f t="shared" si="2"/>
        <v>53656.381699999998</v>
      </c>
      <c r="D19" s="10" t="str">
        <f t="shared" si="3"/>
        <v>vis</v>
      </c>
      <c r="E19" s="47">
        <f>VLOOKUP(C19,Active!C$21:E$973,3,FALSE)</f>
        <v>25726.451293287879</v>
      </c>
      <c r="F19" s="2" t="s">
        <v>61</v>
      </c>
      <c r="G19" s="10" t="str">
        <f t="shared" si="4"/>
        <v>53656.3817</v>
      </c>
      <c r="H19" s="39">
        <f t="shared" si="5"/>
        <v>0</v>
      </c>
      <c r="I19" s="48" t="s">
        <v>267</v>
      </c>
      <c r="J19" s="49" t="s">
        <v>268</v>
      </c>
      <c r="K19" s="48">
        <v>0</v>
      </c>
      <c r="L19" s="48" t="s">
        <v>256</v>
      </c>
      <c r="M19" s="49" t="s">
        <v>198</v>
      </c>
      <c r="N19" s="49" t="s">
        <v>199</v>
      </c>
      <c r="O19" s="50" t="s">
        <v>269</v>
      </c>
      <c r="P19" s="51" t="s">
        <v>270</v>
      </c>
    </row>
    <row r="20" spans="1:16" ht="12.75" customHeight="1" thickBot="1" x14ac:dyDescent="0.25">
      <c r="A20" s="39" t="str">
        <f t="shared" si="0"/>
        <v>BAVM 186 </v>
      </c>
      <c r="B20" s="2" t="str">
        <f t="shared" si="1"/>
        <v>II</v>
      </c>
      <c r="C20" s="39">
        <f t="shared" si="2"/>
        <v>53932.556700000001</v>
      </c>
      <c r="D20" s="10" t="str">
        <f t="shared" si="3"/>
        <v>vis</v>
      </c>
      <c r="E20" s="47">
        <f>VLOOKUP(C20,Active!C$21:E$973,3,FALSE)</f>
        <v>26569.966314376143</v>
      </c>
      <c r="F20" s="2" t="s">
        <v>61</v>
      </c>
      <c r="G20" s="10" t="str">
        <f t="shared" si="4"/>
        <v>53932.5567</v>
      </c>
      <c r="H20" s="39">
        <f t="shared" si="5"/>
        <v>843.5</v>
      </c>
      <c r="I20" s="48" t="s">
        <v>271</v>
      </c>
      <c r="J20" s="49" t="s">
        <v>272</v>
      </c>
      <c r="K20" s="48">
        <v>843.5</v>
      </c>
      <c r="L20" s="48" t="s">
        <v>273</v>
      </c>
      <c r="M20" s="49" t="s">
        <v>274</v>
      </c>
      <c r="N20" s="49" t="s">
        <v>275</v>
      </c>
      <c r="O20" s="50" t="s">
        <v>276</v>
      </c>
      <c r="P20" s="51" t="s">
        <v>277</v>
      </c>
    </row>
    <row r="21" spans="1:16" ht="12.75" customHeight="1" thickBot="1" x14ac:dyDescent="0.25">
      <c r="A21" s="39" t="str">
        <f t="shared" si="0"/>
        <v>OEJV 0155 </v>
      </c>
      <c r="B21" s="2" t="str">
        <f t="shared" si="1"/>
        <v>I</v>
      </c>
      <c r="C21" s="39">
        <f t="shared" si="2"/>
        <v>54767.648000000001</v>
      </c>
      <c r="D21" s="10" t="str">
        <f t="shared" si="3"/>
        <v>vis</v>
      </c>
      <c r="E21" s="47">
        <f>VLOOKUP(C21,Active!C$21:E$973,3,FALSE)</f>
        <v>29120.566678384908</v>
      </c>
      <c r="F21" s="2" t="s">
        <v>61</v>
      </c>
      <c r="G21" s="10" t="str">
        <f t="shared" si="4"/>
        <v>54767.6480</v>
      </c>
      <c r="H21" s="39">
        <f t="shared" si="5"/>
        <v>3394</v>
      </c>
      <c r="I21" s="48" t="s">
        <v>278</v>
      </c>
      <c r="J21" s="49" t="s">
        <v>279</v>
      </c>
      <c r="K21" s="48" t="s">
        <v>280</v>
      </c>
      <c r="L21" s="48" t="s">
        <v>281</v>
      </c>
      <c r="M21" s="49" t="s">
        <v>274</v>
      </c>
      <c r="N21" s="49" t="s">
        <v>282</v>
      </c>
      <c r="O21" s="50" t="s">
        <v>283</v>
      </c>
      <c r="P21" s="51" t="s">
        <v>284</v>
      </c>
    </row>
    <row r="22" spans="1:16" ht="12.75" customHeight="1" thickBot="1" x14ac:dyDescent="0.25">
      <c r="A22" s="39" t="str">
        <f t="shared" si="0"/>
        <v>IBVS 5960 </v>
      </c>
      <c r="B22" s="2" t="str">
        <f t="shared" si="1"/>
        <v>II</v>
      </c>
      <c r="C22" s="39">
        <f t="shared" si="2"/>
        <v>55480.6083</v>
      </c>
      <c r="D22" s="10" t="str">
        <f t="shared" si="3"/>
        <v>CCD</v>
      </c>
      <c r="E22" s="47">
        <f>VLOOKUP(C22,Active!C$21:E$973,3,FALSE)</f>
        <v>31298.145106879845</v>
      </c>
      <c r="F22" s="2" t="str">
        <f>LEFT(M22,1)</f>
        <v>C</v>
      </c>
      <c r="G22" s="10" t="str">
        <f t="shared" si="4"/>
        <v>55480.6083</v>
      </c>
      <c r="H22" s="39">
        <f t="shared" si="5"/>
        <v>5571.5</v>
      </c>
      <c r="I22" s="48" t="s">
        <v>291</v>
      </c>
      <c r="J22" s="49" t="s">
        <v>292</v>
      </c>
      <c r="K22" s="48" t="s">
        <v>293</v>
      </c>
      <c r="L22" s="48" t="s">
        <v>294</v>
      </c>
      <c r="M22" s="49" t="s">
        <v>274</v>
      </c>
      <c r="N22" s="49" t="s">
        <v>61</v>
      </c>
      <c r="O22" s="50" t="s">
        <v>295</v>
      </c>
      <c r="P22" s="51" t="s">
        <v>296</v>
      </c>
    </row>
    <row r="23" spans="1:16" ht="12.75" customHeight="1" thickBot="1" x14ac:dyDescent="0.25">
      <c r="A23" s="39" t="str">
        <f t="shared" si="0"/>
        <v>IBVS 6011 </v>
      </c>
      <c r="B23" s="2" t="str">
        <f t="shared" si="1"/>
        <v>II</v>
      </c>
      <c r="C23" s="39">
        <f t="shared" si="2"/>
        <v>55862.7045</v>
      </c>
      <c r="D23" s="10" t="str">
        <f t="shared" si="3"/>
        <v>CCD</v>
      </c>
      <c r="E23" s="47">
        <f>VLOOKUP(C23,Active!C$21:E$973,3,FALSE)</f>
        <v>32465.172840022755</v>
      </c>
      <c r="F23" s="2" t="str">
        <f>LEFT(M23,1)</f>
        <v>C</v>
      </c>
      <c r="G23" s="10" t="str">
        <f t="shared" si="4"/>
        <v>55862.7045</v>
      </c>
      <c r="H23" s="39">
        <f t="shared" si="5"/>
        <v>6738.5</v>
      </c>
      <c r="I23" s="48" t="s">
        <v>297</v>
      </c>
      <c r="J23" s="49" t="s">
        <v>298</v>
      </c>
      <c r="K23" s="48" t="s">
        <v>299</v>
      </c>
      <c r="L23" s="48" t="s">
        <v>300</v>
      </c>
      <c r="M23" s="49" t="s">
        <v>274</v>
      </c>
      <c r="N23" s="49" t="s">
        <v>61</v>
      </c>
      <c r="O23" s="50" t="s">
        <v>295</v>
      </c>
      <c r="P23" s="51" t="s">
        <v>301</v>
      </c>
    </row>
    <row r="24" spans="1:16" ht="12.75" customHeight="1" thickBot="1" x14ac:dyDescent="0.25">
      <c r="A24" s="39" t="str">
        <f t="shared" si="0"/>
        <v> PZ 22.340 </v>
      </c>
      <c r="B24" s="2" t="str">
        <f t="shared" si="1"/>
        <v>I</v>
      </c>
      <c r="C24" s="39">
        <f t="shared" si="2"/>
        <v>39362.485999999997</v>
      </c>
      <c r="D24" s="10" t="str">
        <f t="shared" si="3"/>
        <v>vis</v>
      </c>
      <c r="E24" s="47">
        <f>VLOOKUP(C24,Active!C$21:E$973,3,FALSE)</f>
        <v>-17931.069238327404</v>
      </c>
      <c r="F24" s="2" t="s">
        <v>61</v>
      </c>
      <c r="G24" s="10" t="str">
        <f t="shared" si="4"/>
        <v>39362.486</v>
      </c>
      <c r="H24" s="39">
        <f t="shared" si="5"/>
        <v>-43657</v>
      </c>
      <c r="I24" s="48" t="s">
        <v>63</v>
      </c>
      <c r="J24" s="49" t="s">
        <v>64</v>
      </c>
      <c r="K24" s="48">
        <v>-43657</v>
      </c>
      <c r="L24" s="48" t="s">
        <v>65</v>
      </c>
      <c r="M24" s="49" t="s">
        <v>66</v>
      </c>
      <c r="N24" s="49"/>
      <c r="O24" s="50" t="s">
        <v>67</v>
      </c>
      <c r="P24" s="50" t="s">
        <v>68</v>
      </c>
    </row>
    <row r="25" spans="1:16" ht="12.75" customHeight="1" thickBot="1" x14ac:dyDescent="0.25">
      <c r="A25" s="39" t="str">
        <f t="shared" si="0"/>
        <v> PZ 22.340 </v>
      </c>
      <c r="B25" s="2" t="str">
        <f t="shared" si="1"/>
        <v>II</v>
      </c>
      <c r="C25" s="39">
        <f t="shared" si="2"/>
        <v>39379.372000000003</v>
      </c>
      <c r="D25" s="10" t="str">
        <f t="shared" si="3"/>
        <v>vis</v>
      </c>
      <c r="E25" s="47">
        <f>VLOOKUP(C25,Active!C$21:E$973,3,FALSE)</f>
        <v>-17879.494712587923</v>
      </c>
      <c r="F25" s="2" t="s">
        <v>61</v>
      </c>
      <c r="G25" s="10" t="str">
        <f t="shared" si="4"/>
        <v>39379.372</v>
      </c>
      <c r="H25" s="39">
        <f t="shared" si="5"/>
        <v>-43605.5</v>
      </c>
      <c r="I25" s="48" t="s">
        <v>69</v>
      </c>
      <c r="J25" s="49" t="s">
        <v>70</v>
      </c>
      <c r="K25" s="48">
        <v>-43605.5</v>
      </c>
      <c r="L25" s="48" t="s">
        <v>71</v>
      </c>
      <c r="M25" s="49" t="s">
        <v>66</v>
      </c>
      <c r="N25" s="49"/>
      <c r="O25" s="50" t="s">
        <v>67</v>
      </c>
      <c r="P25" s="50" t="s">
        <v>68</v>
      </c>
    </row>
    <row r="26" spans="1:16" ht="12.75" customHeight="1" thickBot="1" x14ac:dyDescent="0.25">
      <c r="A26" s="39" t="str">
        <f t="shared" si="0"/>
        <v> PZ 22.340 </v>
      </c>
      <c r="B26" s="2" t="str">
        <f t="shared" si="1"/>
        <v>I</v>
      </c>
      <c r="C26" s="39">
        <f t="shared" si="2"/>
        <v>39386.415000000001</v>
      </c>
      <c r="D26" s="10" t="str">
        <f t="shared" si="3"/>
        <v>vis</v>
      </c>
      <c r="E26" s="47">
        <f>VLOOKUP(C26,Active!C$21:E$973,3,FALSE)</f>
        <v>-17857.983437876152</v>
      </c>
      <c r="F26" s="2" t="s">
        <v>61</v>
      </c>
      <c r="G26" s="10" t="str">
        <f t="shared" si="4"/>
        <v>39386.415</v>
      </c>
      <c r="H26" s="39">
        <f t="shared" si="5"/>
        <v>-43584</v>
      </c>
      <c r="I26" s="48" t="s">
        <v>72</v>
      </c>
      <c r="J26" s="49" t="s">
        <v>73</v>
      </c>
      <c r="K26" s="48">
        <v>-43584</v>
      </c>
      <c r="L26" s="48" t="s">
        <v>74</v>
      </c>
      <c r="M26" s="49" t="s">
        <v>66</v>
      </c>
      <c r="N26" s="49"/>
      <c r="O26" s="50" t="s">
        <v>67</v>
      </c>
      <c r="P26" s="50" t="s">
        <v>68</v>
      </c>
    </row>
    <row r="27" spans="1:16" ht="12.75" customHeight="1" thickBot="1" x14ac:dyDescent="0.25">
      <c r="A27" s="39" t="str">
        <f t="shared" si="0"/>
        <v> PZ 22.340 </v>
      </c>
      <c r="B27" s="2" t="str">
        <f t="shared" si="1"/>
        <v>II</v>
      </c>
      <c r="C27" s="39">
        <f t="shared" si="2"/>
        <v>39417.373</v>
      </c>
      <c r="D27" s="10" t="str">
        <f t="shared" si="3"/>
        <v>vis</v>
      </c>
      <c r="E27" s="47">
        <f>VLOOKUP(C27,Active!C$21:E$973,3,FALSE)</f>
        <v>-17763.429122594724</v>
      </c>
      <c r="F27" s="2" t="s">
        <v>61</v>
      </c>
      <c r="G27" s="10" t="str">
        <f t="shared" si="4"/>
        <v>39417.373</v>
      </c>
      <c r="H27" s="39">
        <f t="shared" si="5"/>
        <v>-43489.5</v>
      </c>
      <c r="I27" s="48" t="s">
        <v>75</v>
      </c>
      <c r="J27" s="49" t="s">
        <v>76</v>
      </c>
      <c r="K27" s="48">
        <v>-43489.5</v>
      </c>
      <c r="L27" s="48" t="s">
        <v>77</v>
      </c>
      <c r="M27" s="49" t="s">
        <v>66</v>
      </c>
      <c r="N27" s="49"/>
      <c r="O27" s="50" t="s">
        <v>67</v>
      </c>
      <c r="P27" s="50" t="s">
        <v>68</v>
      </c>
    </row>
    <row r="28" spans="1:16" ht="12.75" customHeight="1" thickBot="1" x14ac:dyDescent="0.25">
      <c r="A28" s="39" t="str">
        <f t="shared" si="0"/>
        <v> PZ 22.340 </v>
      </c>
      <c r="B28" s="2" t="str">
        <f t="shared" si="1"/>
        <v>I</v>
      </c>
      <c r="C28" s="39">
        <f t="shared" si="2"/>
        <v>39762.277999999998</v>
      </c>
      <c r="D28" s="10" t="str">
        <f t="shared" si="3"/>
        <v>vis</v>
      </c>
      <c r="E28" s="47">
        <f>VLOOKUP(C28,Active!C$21:E$973,3,FALSE)</f>
        <v>-16709.993625723375</v>
      </c>
      <c r="F28" s="2" t="s">
        <v>61</v>
      </c>
      <c r="G28" s="10" t="str">
        <f t="shared" si="4"/>
        <v>39762.278</v>
      </c>
      <c r="H28" s="39">
        <f t="shared" si="5"/>
        <v>-42436</v>
      </c>
      <c r="I28" s="48" t="s">
        <v>78</v>
      </c>
      <c r="J28" s="49" t="s">
        <v>79</v>
      </c>
      <c r="K28" s="48">
        <v>-42436</v>
      </c>
      <c r="L28" s="48" t="s">
        <v>80</v>
      </c>
      <c r="M28" s="49" t="s">
        <v>66</v>
      </c>
      <c r="N28" s="49"/>
      <c r="O28" s="50" t="s">
        <v>67</v>
      </c>
      <c r="P28" s="50" t="s">
        <v>68</v>
      </c>
    </row>
    <row r="29" spans="1:16" ht="12.75" customHeight="1" thickBot="1" x14ac:dyDescent="0.25">
      <c r="A29" s="39" t="str">
        <f t="shared" si="0"/>
        <v> PZ 22.340 </v>
      </c>
      <c r="B29" s="2" t="str">
        <f t="shared" si="1"/>
        <v>I</v>
      </c>
      <c r="C29" s="39">
        <f t="shared" si="2"/>
        <v>39764.237000000001</v>
      </c>
      <c r="D29" s="10" t="str">
        <f t="shared" si="3"/>
        <v>vis</v>
      </c>
      <c r="E29" s="47">
        <f>VLOOKUP(C29,Active!C$21:E$973,3,FALSE)</f>
        <v>-16704.010296579483</v>
      </c>
      <c r="F29" s="2" t="s">
        <v>61</v>
      </c>
      <c r="G29" s="10" t="str">
        <f t="shared" si="4"/>
        <v>39764.237</v>
      </c>
      <c r="H29" s="39">
        <f t="shared" si="5"/>
        <v>-42430</v>
      </c>
      <c r="I29" s="48" t="s">
        <v>81</v>
      </c>
      <c r="J29" s="49" t="s">
        <v>82</v>
      </c>
      <c r="K29" s="48">
        <v>-42430</v>
      </c>
      <c r="L29" s="48" t="s">
        <v>83</v>
      </c>
      <c r="M29" s="49" t="s">
        <v>66</v>
      </c>
      <c r="N29" s="49"/>
      <c r="O29" s="50" t="s">
        <v>67</v>
      </c>
      <c r="P29" s="50" t="s">
        <v>68</v>
      </c>
    </row>
    <row r="30" spans="1:16" ht="12.75" customHeight="1" thickBot="1" x14ac:dyDescent="0.25">
      <c r="A30" s="39" t="str">
        <f t="shared" si="0"/>
        <v> PZ 22.340 </v>
      </c>
      <c r="B30" s="2" t="str">
        <f t="shared" si="1"/>
        <v>II</v>
      </c>
      <c r="C30" s="39">
        <f t="shared" si="2"/>
        <v>39766.345000000001</v>
      </c>
      <c r="D30" s="10" t="str">
        <f t="shared" si="3"/>
        <v>vis</v>
      </c>
      <c r="E30" s="47">
        <f>VLOOKUP(C30,Active!C$21:E$973,3,FALSE)</f>
        <v>-16697.571880124502</v>
      </c>
      <c r="F30" s="2" t="s">
        <v>61</v>
      </c>
      <c r="G30" s="10" t="str">
        <f t="shared" si="4"/>
        <v>39766.345</v>
      </c>
      <c r="H30" s="39">
        <f t="shared" si="5"/>
        <v>-42423.5</v>
      </c>
      <c r="I30" s="48" t="s">
        <v>84</v>
      </c>
      <c r="J30" s="49" t="s">
        <v>85</v>
      </c>
      <c r="K30" s="48">
        <v>-42423.5</v>
      </c>
      <c r="L30" s="48" t="s">
        <v>86</v>
      </c>
      <c r="M30" s="49" t="s">
        <v>66</v>
      </c>
      <c r="N30" s="49"/>
      <c r="O30" s="50" t="s">
        <v>67</v>
      </c>
      <c r="P30" s="50" t="s">
        <v>68</v>
      </c>
    </row>
    <row r="31" spans="1:16" ht="12.75" customHeight="1" thickBot="1" x14ac:dyDescent="0.25">
      <c r="A31" s="39" t="str">
        <f t="shared" si="0"/>
        <v> PZ 22.340 </v>
      </c>
      <c r="B31" s="2" t="str">
        <f t="shared" si="1"/>
        <v>I</v>
      </c>
      <c r="C31" s="39">
        <f t="shared" si="2"/>
        <v>41211.362000000001</v>
      </c>
      <c r="D31" s="10" t="str">
        <f t="shared" si="3"/>
        <v>vis</v>
      </c>
      <c r="E31" s="47">
        <f>VLOOKUP(C31,Active!C$21:E$973,3,FALSE)</f>
        <v>-12284.089322949198</v>
      </c>
      <c r="F31" s="2" t="s">
        <v>61</v>
      </c>
      <c r="G31" s="10" t="str">
        <f t="shared" si="4"/>
        <v>41211.362</v>
      </c>
      <c r="H31" s="39">
        <f t="shared" si="5"/>
        <v>-38010</v>
      </c>
      <c r="I31" s="48" t="s">
        <v>87</v>
      </c>
      <c r="J31" s="49" t="s">
        <v>88</v>
      </c>
      <c r="K31" s="48">
        <v>-38010</v>
      </c>
      <c r="L31" s="48" t="s">
        <v>89</v>
      </c>
      <c r="M31" s="49" t="s">
        <v>66</v>
      </c>
      <c r="N31" s="49"/>
      <c r="O31" s="50" t="s">
        <v>67</v>
      </c>
      <c r="P31" s="50" t="s">
        <v>68</v>
      </c>
    </row>
    <row r="32" spans="1:16" ht="12.75" customHeight="1" thickBot="1" x14ac:dyDescent="0.25">
      <c r="A32" s="39" t="str">
        <f t="shared" si="0"/>
        <v> PZ 22.340 </v>
      </c>
      <c r="B32" s="2" t="str">
        <f t="shared" si="1"/>
        <v>II</v>
      </c>
      <c r="C32" s="39">
        <f t="shared" si="2"/>
        <v>42305.415999999997</v>
      </c>
      <c r="D32" s="10" t="str">
        <f t="shared" si="3"/>
        <v>vis</v>
      </c>
      <c r="E32" s="47">
        <f>VLOOKUP(C32,Active!C$21:E$973,3,FALSE)</f>
        <v>-8942.5450742601806</v>
      </c>
      <c r="F32" s="2" t="s">
        <v>61</v>
      </c>
      <c r="G32" s="10" t="str">
        <f t="shared" si="4"/>
        <v>42305.416</v>
      </c>
      <c r="H32" s="39">
        <f t="shared" si="5"/>
        <v>-34668.5</v>
      </c>
      <c r="I32" s="48" t="s">
        <v>90</v>
      </c>
      <c r="J32" s="49" t="s">
        <v>91</v>
      </c>
      <c r="K32" s="48">
        <v>-34668.5</v>
      </c>
      <c r="L32" s="48" t="s">
        <v>92</v>
      </c>
      <c r="M32" s="49" t="s">
        <v>66</v>
      </c>
      <c r="N32" s="49"/>
      <c r="O32" s="50" t="s">
        <v>67</v>
      </c>
      <c r="P32" s="50" t="s">
        <v>68</v>
      </c>
    </row>
    <row r="33" spans="1:16" ht="12.75" customHeight="1" thickBot="1" x14ac:dyDescent="0.25">
      <c r="A33" s="39" t="str">
        <f t="shared" si="0"/>
        <v> PZ 22.340 </v>
      </c>
      <c r="B33" s="2" t="str">
        <f t="shared" si="1"/>
        <v>II</v>
      </c>
      <c r="C33" s="39">
        <f t="shared" si="2"/>
        <v>42309.353000000003</v>
      </c>
      <c r="D33" s="10" t="str">
        <f t="shared" si="3"/>
        <v>vis</v>
      </c>
      <c r="E33" s="47">
        <f>VLOOKUP(C33,Active!C$21:E$973,3,FALSE)</f>
        <v>-8930.5203847045414</v>
      </c>
      <c r="F33" s="2" t="s">
        <v>61</v>
      </c>
      <c r="G33" s="10" t="str">
        <f t="shared" si="4"/>
        <v>42309.353</v>
      </c>
      <c r="H33" s="39">
        <f t="shared" si="5"/>
        <v>-34656.5</v>
      </c>
      <c r="I33" s="48" t="s">
        <v>93</v>
      </c>
      <c r="J33" s="49" t="s">
        <v>94</v>
      </c>
      <c r="K33" s="48">
        <v>-34656.5</v>
      </c>
      <c r="L33" s="48" t="s">
        <v>95</v>
      </c>
      <c r="M33" s="49" t="s">
        <v>66</v>
      </c>
      <c r="N33" s="49"/>
      <c r="O33" s="50" t="s">
        <v>67</v>
      </c>
      <c r="P33" s="50" t="s">
        <v>68</v>
      </c>
    </row>
    <row r="34" spans="1:16" ht="12.75" customHeight="1" thickBot="1" x14ac:dyDescent="0.25">
      <c r="A34" s="39" t="str">
        <f t="shared" si="0"/>
        <v> PZ 22.340 </v>
      </c>
      <c r="B34" s="2" t="str">
        <f t="shared" si="1"/>
        <v>II</v>
      </c>
      <c r="C34" s="39">
        <f t="shared" si="2"/>
        <v>42331.303</v>
      </c>
      <c r="D34" s="10" t="str">
        <f t="shared" si="3"/>
        <v>vis</v>
      </c>
      <c r="E34" s="47">
        <f>VLOOKUP(C34,Active!C$21:E$973,3,FALSE)</f>
        <v>-8863.478998942308</v>
      </c>
      <c r="F34" s="2" t="s">
        <v>61</v>
      </c>
      <c r="G34" s="10" t="str">
        <f t="shared" si="4"/>
        <v>42331.303</v>
      </c>
      <c r="H34" s="39">
        <f t="shared" si="5"/>
        <v>-34589.5</v>
      </c>
      <c r="I34" s="48" t="s">
        <v>96</v>
      </c>
      <c r="J34" s="49" t="s">
        <v>97</v>
      </c>
      <c r="K34" s="48">
        <v>-34589.5</v>
      </c>
      <c r="L34" s="48" t="s">
        <v>98</v>
      </c>
      <c r="M34" s="49" t="s">
        <v>66</v>
      </c>
      <c r="N34" s="49"/>
      <c r="O34" s="50" t="s">
        <v>67</v>
      </c>
      <c r="P34" s="50" t="s">
        <v>68</v>
      </c>
    </row>
    <row r="35" spans="1:16" ht="12.75" customHeight="1" thickBot="1" x14ac:dyDescent="0.25">
      <c r="A35" s="39" t="str">
        <f t="shared" si="0"/>
        <v> PZ 22.340 </v>
      </c>
      <c r="B35" s="2" t="str">
        <f t="shared" si="1"/>
        <v>II</v>
      </c>
      <c r="C35" s="39">
        <f t="shared" si="2"/>
        <v>42335.211000000003</v>
      </c>
      <c r="D35" s="10" t="str">
        <f t="shared" si="3"/>
        <v>vis</v>
      </c>
      <c r="E35" s="47">
        <f>VLOOKUP(C35,Active!C$21:E$973,3,FALSE)</f>
        <v>-8851.5428834270879</v>
      </c>
      <c r="F35" s="2" t="s">
        <v>61</v>
      </c>
      <c r="G35" s="10" t="str">
        <f t="shared" si="4"/>
        <v>42335.211</v>
      </c>
      <c r="H35" s="39">
        <f t="shared" si="5"/>
        <v>-34577.5</v>
      </c>
      <c r="I35" s="48" t="s">
        <v>99</v>
      </c>
      <c r="J35" s="49" t="s">
        <v>100</v>
      </c>
      <c r="K35" s="48">
        <v>-34577.5</v>
      </c>
      <c r="L35" s="48" t="s">
        <v>92</v>
      </c>
      <c r="M35" s="49" t="s">
        <v>66</v>
      </c>
      <c r="N35" s="49"/>
      <c r="O35" s="50" t="s">
        <v>67</v>
      </c>
      <c r="P35" s="50" t="s">
        <v>68</v>
      </c>
    </row>
    <row r="36" spans="1:16" ht="12.75" customHeight="1" thickBot="1" x14ac:dyDescent="0.25">
      <c r="A36" s="39" t="str">
        <f t="shared" si="0"/>
        <v> PZ 22.340 </v>
      </c>
      <c r="B36" s="2" t="str">
        <f t="shared" si="1"/>
        <v>I</v>
      </c>
      <c r="C36" s="39">
        <f t="shared" si="2"/>
        <v>42341.292000000001</v>
      </c>
      <c r="D36" s="10" t="str">
        <f t="shared" si="3"/>
        <v>vis</v>
      </c>
      <c r="E36" s="47">
        <f>VLOOKUP(C36,Active!C$21:E$973,3,FALSE)</f>
        <v>-8832.9698234352854</v>
      </c>
      <c r="F36" s="2" t="s">
        <v>61</v>
      </c>
      <c r="G36" s="10" t="str">
        <f t="shared" si="4"/>
        <v>42341.292</v>
      </c>
      <c r="H36" s="39">
        <f t="shared" si="5"/>
        <v>-34559</v>
      </c>
      <c r="I36" s="48" t="s">
        <v>101</v>
      </c>
      <c r="J36" s="49" t="s">
        <v>102</v>
      </c>
      <c r="K36" s="48">
        <v>-34559</v>
      </c>
      <c r="L36" s="48" t="s">
        <v>103</v>
      </c>
      <c r="M36" s="49" t="s">
        <v>66</v>
      </c>
      <c r="N36" s="49"/>
      <c r="O36" s="50" t="s">
        <v>67</v>
      </c>
      <c r="P36" s="50" t="s">
        <v>68</v>
      </c>
    </row>
    <row r="37" spans="1:16" ht="12.75" customHeight="1" thickBot="1" x14ac:dyDescent="0.25">
      <c r="A37" s="39" t="str">
        <f t="shared" si="0"/>
        <v> PZ 22.340 </v>
      </c>
      <c r="B37" s="2" t="str">
        <f t="shared" si="1"/>
        <v>I</v>
      </c>
      <c r="C37" s="39">
        <f t="shared" si="2"/>
        <v>42364.222000000002</v>
      </c>
      <c r="D37" s="10" t="str">
        <f t="shared" si="3"/>
        <v>vis</v>
      </c>
      <c r="E37" s="47">
        <f>VLOOKUP(C37,Active!C$21:E$973,3,FALSE)</f>
        <v>-8762.9352459624733</v>
      </c>
      <c r="F37" s="2" t="s">
        <v>61</v>
      </c>
      <c r="G37" s="10" t="str">
        <f t="shared" si="4"/>
        <v>42364.222</v>
      </c>
      <c r="H37" s="39">
        <f t="shared" si="5"/>
        <v>-34489</v>
      </c>
      <c r="I37" s="48" t="s">
        <v>104</v>
      </c>
      <c r="J37" s="49" t="s">
        <v>105</v>
      </c>
      <c r="K37" s="48">
        <v>-34489</v>
      </c>
      <c r="L37" s="48" t="s">
        <v>106</v>
      </c>
      <c r="M37" s="49" t="s">
        <v>66</v>
      </c>
      <c r="N37" s="49"/>
      <c r="O37" s="50" t="s">
        <v>67</v>
      </c>
      <c r="P37" s="50" t="s">
        <v>68</v>
      </c>
    </row>
    <row r="38" spans="1:16" ht="12.75" customHeight="1" thickBot="1" x14ac:dyDescent="0.25">
      <c r="A38" s="39" t="str">
        <f t="shared" si="0"/>
        <v> PZ 22.340 </v>
      </c>
      <c r="B38" s="2" t="str">
        <f t="shared" si="1"/>
        <v>I</v>
      </c>
      <c r="C38" s="39">
        <f t="shared" si="2"/>
        <v>42665.385000000002</v>
      </c>
      <c r="D38" s="10" t="str">
        <f t="shared" si="3"/>
        <v>vis</v>
      </c>
      <c r="E38" s="47">
        <f>VLOOKUP(C38,Active!C$21:E$973,3,FALSE)</f>
        <v>-7843.099944809207</v>
      </c>
      <c r="F38" s="2" t="s">
        <v>61</v>
      </c>
      <c r="G38" s="10" t="str">
        <f t="shared" si="4"/>
        <v>42665.385</v>
      </c>
      <c r="H38" s="39">
        <f t="shared" si="5"/>
        <v>-33569</v>
      </c>
      <c r="I38" s="48" t="s">
        <v>107</v>
      </c>
      <c r="J38" s="49" t="s">
        <v>108</v>
      </c>
      <c r="K38" s="48">
        <v>-33569</v>
      </c>
      <c r="L38" s="48" t="s">
        <v>109</v>
      </c>
      <c r="M38" s="49" t="s">
        <v>66</v>
      </c>
      <c r="N38" s="49"/>
      <c r="O38" s="50" t="s">
        <v>67</v>
      </c>
      <c r="P38" s="50" t="s">
        <v>68</v>
      </c>
    </row>
    <row r="39" spans="1:16" ht="12.75" customHeight="1" thickBot="1" x14ac:dyDescent="0.25">
      <c r="A39" s="39" t="str">
        <f t="shared" si="0"/>
        <v> PZ 22.340 </v>
      </c>
      <c r="B39" s="2" t="str">
        <f t="shared" si="1"/>
        <v>I</v>
      </c>
      <c r="C39" s="39">
        <f t="shared" si="2"/>
        <v>42667.404999999999</v>
      </c>
      <c r="D39" s="10" t="str">
        <f t="shared" si="3"/>
        <v>vis</v>
      </c>
      <c r="E39" s="47">
        <f>VLOOKUP(C39,Active!C$21:E$973,3,FALSE)</f>
        <v>-7836.9303047527374</v>
      </c>
      <c r="F39" s="2" t="s">
        <v>61</v>
      </c>
      <c r="G39" s="10" t="str">
        <f t="shared" si="4"/>
        <v>42667.405</v>
      </c>
      <c r="H39" s="39">
        <f t="shared" si="5"/>
        <v>-33563</v>
      </c>
      <c r="I39" s="48" t="s">
        <v>110</v>
      </c>
      <c r="J39" s="49" t="s">
        <v>111</v>
      </c>
      <c r="K39" s="48">
        <v>-33563</v>
      </c>
      <c r="L39" s="48" t="s">
        <v>112</v>
      </c>
      <c r="M39" s="49" t="s">
        <v>66</v>
      </c>
      <c r="N39" s="49"/>
      <c r="O39" s="50" t="s">
        <v>67</v>
      </c>
      <c r="P39" s="50" t="s">
        <v>68</v>
      </c>
    </row>
    <row r="40" spans="1:16" ht="12.75" customHeight="1" thickBot="1" x14ac:dyDescent="0.25">
      <c r="A40" s="39" t="str">
        <f t="shared" si="0"/>
        <v> PZ 22.340 </v>
      </c>
      <c r="B40" s="2" t="str">
        <f t="shared" si="1"/>
        <v>II</v>
      </c>
      <c r="C40" s="39">
        <f t="shared" si="2"/>
        <v>43396.368000000002</v>
      </c>
      <c r="D40" s="10" t="str">
        <f t="shared" si="3"/>
        <v>vis</v>
      </c>
      <c r="E40" s="47">
        <f>VLOOKUP(C40,Active!C$21:E$973,3,FALSE)</f>
        <v>-5610.4751936182674</v>
      </c>
      <c r="F40" s="2" t="s">
        <v>61</v>
      </c>
      <c r="G40" s="10" t="str">
        <f t="shared" si="4"/>
        <v>43396.368</v>
      </c>
      <c r="H40" s="39">
        <f t="shared" si="5"/>
        <v>-31336.5</v>
      </c>
      <c r="I40" s="48" t="s">
        <v>113</v>
      </c>
      <c r="J40" s="49" t="s">
        <v>114</v>
      </c>
      <c r="K40" s="48">
        <v>-31336.5</v>
      </c>
      <c r="L40" s="48" t="s">
        <v>115</v>
      </c>
      <c r="M40" s="49" t="s">
        <v>66</v>
      </c>
      <c r="N40" s="49"/>
      <c r="O40" s="50" t="s">
        <v>67</v>
      </c>
      <c r="P40" s="50" t="s">
        <v>68</v>
      </c>
    </row>
    <row r="41" spans="1:16" ht="12.75" customHeight="1" thickBot="1" x14ac:dyDescent="0.25">
      <c r="A41" s="39" t="str">
        <f t="shared" si="0"/>
        <v> PZ 22.340 </v>
      </c>
      <c r="B41" s="2" t="str">
        <f t="shared" si="1"/>
        <v>I</v>
      </c>
      <c r="C41" s="39">
        <f t="shared" si="2"/>
        <v>43748.470999999998</v>
      </c>
      <c r="D41" s="10" t="str">
        <f t="shared" si="3"/>
        <v>vis</v>
      </c>
      <c r="E41" s="47">
        <f>VLOOKUP(C41,Active!C$21:E$973,3,FALSE)</f>
        <v>-4535.0550090605238</v>
      </c>
      <c r="F41" s="2" t="s">
        <v>61</v>
      </c>
      <c r="G41" s="10" t="str">
        <f t="shared" si="4"/>
        <v>43748.471</v>
      </c>
      <c r="H41" s="39">
        <f t="shared" si="5"/>
        <v>-30261</v>
      </c>
      <c r="I41" s="48" t="s">
        <v>116</v>
      </c>
      <c r="J41" s="49" t="s">
        <v>117</v>
      </c>
      <c r="K41" s="48">
        <v>-30261</v>
      </c>
      <c r="L41" s="48" t="s">
        <v>118</v>
      </c>
      <c r="M41" s="49" t="s">
        <v>66</v>
      </c>
      <c r="N41" s="49"/>
      <c r="O41" s="50" t="s">
        <v>67</v>
      </c>
      <c r="P41" s="50" t="s">
        <v>68</v>
      </c>
    </row>
    <row r="42" spans="1:16" ht="12.75" customHeight="1" thickBot="1" x14ac:dyDescent="0.25">
      <c r="A42" s="39" t="str">
        <f t="shared" si="0"/>
        <v> PZ 22.340 </v>
      </c>
      <c r="B42" s="2" t="str">
        <f t="shared" si="1"/>
        <v>II</v>
      </c>
      <c r="C42" s="39">
        <f t="shared" si="2"/>
        <v>43865.195</v>
      </c>
      <c r="D42" s="10" t="str">
        <f t="shared" si="3"/>
        <v>vis</v>
      </c>
      <c r="E42" s="47">
        <f>VLOOKUP(C42,Active!C$21:E$973,3,FALSE)</f>
        <v>-4178.5475506681732</v>
      </c>
      <c r="F42" s="2" t="s">
        <v>61</v>
      </c>
      <c r="G42" s="10" t="str">
        <f t="shared" si="4"/>
        <v>43865.195</v>
      </c>
      <c r="H42" s="39">
        <f t="shared" si="5"/>
        <v>-29904.5</v>
      </c>
      <c r="I42" s="48" t="s">
        <v>119</v>
      </c>
      <c r="J42" s="49" t="s">
        <v>120</v>
      </c>
      <c r="K42" s="48">
        <v>-29904.5</v>
      </c>
      <c r="L42" s="48" t="s">
        <v>118</v>
      </c>
      <c r="M42" s="49" t="s">
        <v>66</v>
      </c>
      <c r="N42" s="49"/>
      <c r="O42" s="50" t="s">
        <v>67</v>
      </c>
      <c r="P42" s="50" t="s">
        <v>68</v>
      </c>
    </row>
    <row r="43" spans="1:16" ht="12.75" customHeight="1" thickBot="1" x14ac:dyDescent="0.25">
      <c r="A43" s="39" t="str">
        <f t="shared" ref="A43:A79" si="6">P43</f>
        <v> PZ 22.340 </v>
      </c>
      <c r="B43" s="2" t="str">
        <f t="shared" ref="B43:B79" si="7">IF(H43=INT(H43),"I","II")</f>
        <v>II</v>
      </c>
      <c r="C43" s="39">
        <f t="shared" ref="C43:C79" si="8">1*G43</f>
        <v>44087.512000000002</v>
      </c>
      <c r="D43" s="10" t="str">
        <f t="shared" ref="D43:D79" si="9">VLOOKUP(F43,I$1:J$5,2,FALSE)</f>
        <v>vis</v>
      </c>
      <c r="E43" s="47">
        <f>VLOOKUP(C43,Active!C$21:E$973,3,FALSE)</f>
        <v>-3499.5297940164837</v>
      </c>
      <c r="F43" s="2" t="s">
        <v>61</v>
      </c>
      <c r="G43" s="10" t="str">
        <f t="shared" ref="G43:G79" si="10">MID(I43,3,LEN(I43)-3)</f>
        <v>44087.512</v>
      </c>
      <c r="H43" s="39">
        <f t="shared" ref="H43:H79" si="11">1*K43</f>
        <v>-29225.5</v>
      </c>
      <c r="I43" s="48" t="s">
        <v>121</v>
      </c>
      <c r="J43" s="49" t="s">
        <v>122</v>
      </c>
      <c r="K43" s="48">
        <v>-29225.5</v>
      </c>
      <c r="L43" s="48" t="s">
        <v>118</v>
      </c>
      <c r="M43" s="49" t="s">
        <v>66</v>
      </c>
      <c r="N43" s="49"/>
      <c r="O43" s="50" t="s">
        <v>67</v>
      </c>
      <c r="P43" s="50" t="s">
        <v>68</v>
      </c>
    </row>
    <row r="44" spans="1:16" ht="12.75" customHeight="1" thickBot="1" x14ac:dyDescent="0.25">
      <c r="A44" s="39" t="str">
        <f t="shared" si="6"/>
        <v> PZ 22.340 </v>
      </c>
      <c r="B44" s="2" t="str">
        <f t="shared" si="7"/>
        <v>I</v>
      </c>
      <c r="C44" s="39">
        <f t="shared" si="8"/>
        <v>44139.402000000002</v>
      </c>
      <c r="D44" s="10" t="str">
        <f t="shared" si="9"/>
        <v>vis</v>
      </c>
      <c r="E44" s="47">
        <f>VLOOKUP(C44,Active!C$21:E$973,3,FALSE)</f>
        <v>-3341.0433472190939</v>
      </c>
      <c r="F44" s="2" t="s">
        <v>61</v>
      </c>
      <c r="G44" s="10" t="str">
        <f t="shared" si="10"/>
        <v>44139.402</v>
      </c>
      <c r="H44" s="39">
        <f t="shared" si="11"/>
        <v>-29067</v>
      </c>
      <c r="I44" s="48" t="s">
        <v>123</v>
      </c>
      <c r="J44" s="49" t="s">
        <v>124</v>
      </c>
      <c r="K44" s="48">
        <v>-29067</v>
      </c>
      <c r="L44" s="48" t="s">
        <v>125</v>
      </c>
      <c r="M44" s="49" t="s">
        <v>66</v>
      </c>
      <c r="N44" s="49"/>
      <c r="O44" s="50" t="s">
        <v>67</v>
      </c>
      <c r="P44" s="50" t="s">
        <v>68</v>
      </c>
    </row>
    <row r="45" spans="1:16" ht="12.75" customHeight="1" thickBot="1" x14ac:dyDescent="0.25">
      <c r="A45" s="39" t="str">
        <f t="shared" si="6"/>
        <v> PZ 22.340 </v>
      </c>
      <c r="B45" s="2" t="str">
        <f t="shared" si="7"/>
        <v>I</v>
      </c>
      <c r="C45" s="39">
        <f t="shared" si="8"/>
        <v>44140.383000000002</v>
      </c>
      <c r="D45" s="10" t="str">
        <f t="shared" si="9"/>
        <v>vis</v>
      </c>
      <c r="E45" s="47">
        <f>VLOOKUP(C45,Active!C$21:E$973,3,FALSE)</f>
        <v>-3338.0471012312696</v>
      </c>
      <c r="F45" s="2" t="s">
        <v>61</v>
      </c>
      <c r="G45" s="10" t="str">
        <f t="shared" si="10"/>
        <v>44140.383</v>
      </c>
      <c r="H45" s="39">
        <f t="shared" si="11"/>
        <v>-29064</v>
      </c>
      <c r="I45" s="48" t="s">
        <v>126</v>
      </c>
      <c r="J45" s="49" t="s">
        <v>127</v>
      </c>
      <c r="K45" s="48">
        <v>-29064</v>
      </c>
      <c r="L45" s="48" t="s">
        <v>128</v>
      </c>
      <c r="M45" s="49" t="s">
        <v>66</v>
      </c>
      <c r="N45" s="49"/>
      <c r="O45" s="50" t="s">
        <v>67</v>
      </c>
      <c r="P45" s="50" t="s">
        <v>68</v>
      </c>
    </row>
    <row r="46" spans="1:16" ht="12.75" customHeight="1" thickBot="1" x14ac:dyDescent="0.25">
      <c r="A46" s="39" t="str">
        <f t="shared" si="6"/>
        <v> PZ 22.340 </v>
      </c>
      <c r="B46" s="2" t="str">
        <f t="shared" si="7"/>
        <v>I</v>
      </c>
      <c r="C46" s="39">
        <f t="shared" si="8"/>
        <v>44141.381999999998</v>
      </c>
      <c r="D46" s="10" t="str">
        <f t="shared" si="9"/>
        <v>vis</v>
      </c>
      <c r="E46" s="47">
        <f>VLOOKUP(C46,Active!C$21:E$973,3,FALSE)</f>
        <v>-3334.9958782528538</v>
      </c>
      <c r="F46" s="2" t="s">
        <v>61</v>
      </c>
      <c r="G46" s="10" t="str">
        <f t="shared" si="10"/>
        <v>44141.382</v>
      </c>
      <c r="H46" s="39">
        <f t="shared" si="11"/>
        <v>-29061</v>
      </c>
      <c r="I46" s="48" t="s">
        <v>129</v>
      </c>
      <c r="J46" s="49" t="s">
        <v>130</v>
      </c>
      <c r="K46" s="48">
        <v>-29061</v>
      </c>
      <c r="L46" s="48" t="s">
        <v>131</v>
      </c>
      <c r="M46" s="49" t="s">
        <v>66</v>
      </c>
      <c r="N46" s="49"/>
      <c r="O46" s="50" t="s">
        <v>67</v>
      </c>
      <c r="P46" s="50" t="s">
        <v>68</v>
      </c>
    </row>
    <row r="47" spans="1:16" ht="12.75" customHeight="1" thickBot="1" x14ac:dyDescent="0.25">
      <c r="A47" s="39" t="str">
        <f t="shared" si="6"/>
        <v> PZ 22.340 </v>
      </c>
      <c r="B47" s="2" t="str">
        <f t="shared" si="7"/>
        <v>I</v>
      </c>
      <c r="C47" s="39">
        <f t="shared" si="8"/>
        <v>44487.457000000002</v>
      </c>
      <c r="D47" s="10" t="str">
        <f t="shared" si="9"/>
        <v>vis</v>
      </c>
      <c r="E47" s="47">
        <f>VLOOKUP(C47,Active!C$21:E$973,3,FALSE)</f>
        <v>-2277.9868769923405</v>
      </c>
      <c r="F47" s="2" t="s">
        <v>61</v>
      </c>
      <c r="G47" s="10" t="str">
        <f t="shared" si="10"/>
        <v>44487.457</v>
      </c>
      <c r="H47" s="39">
        <f t="shared" si="11"/>
        <v>-28004</v>
      </c>
      <c r="I47" s="48" t="s">
        <v>132</v>
      </c>
      <c r="J47" s="49" t="s">
        <v>133</v>
      </c>
      <c r="K47" s="48">
        <v>-28004</v>
      </c>
      <c r="L47" s="48" t="s">
        <v>134</v>
      </c>
      <c r="M47" s="49" t="s">
        <v>66</v>
      </c>
      <c r="N47" s="49"/>
      <c r="O47" s="50" t="s">
        <v>67</v>
      </c>
      <c r="P47" s="50" t="s">
        <v>68</v>
      </c>
    </row>
    <row r="48" spans="1:16" ht="12.75" customHeight="1" thickBot="1" x14ac:dyDescent="0.25">
      <c r="A48" s="39" t="str">
        <f t="shared" si="6"/>
        <v> PZ 22.340 </v>
      </c>
      <c r="B48" s="2" t="str">
        <f t="shared" si="7"/>
        <v>I</v>
      </c>
      <c r="C48" s="39">
        <f t="shared" si="8"/>
        <v>44489.398999999998</v>
      </c>
      <c r="D48" s="10" t="str">
        <f t="shared" si="9"/>
        <v>vis</v>
      </c>
      <c r="E48" s="47">
        <f>VLOOKUP(C48,Active!C$21:E$973,3,FALSE)</f>
        <v>-2272.0554705618179</v>
      </c>
      <c r="F48" s="2" t="s">
        <v>61</v>
      </c>
      <c r="G48" s="10" t="str">
        <f t="shared" si="10"/>
        <v>44489.399</v>
      </c>
      <c r="H48" s="39">
        <f t="shared" si="11"/>
        <v>-27998</v>
      </c>
      <c r="I48" s="48" t="s">
        <v>135</v>
      </c>
      <c r="J48" s="49" t="s">
        <v>136</v>
      </c>
      <c r="K48" s="48">
        <v>-27998</v>
      </c>
      <c r="L48" s="48" t="s">
        <v>137</v>
      </c>
      <c r="M48" s="49" t="s">
        <v>66</v>
      </c>
      <c r="N48" s="49"/>
      <c r="O48" s="50" t="s">
        <v>67</v>
      </c>
      <c r="P48" s="50" t="s">
        <v>68</v>
      </c>
    </row>
    <row r="49" spans="1:16" ht="12.75" customHeight="1" thickBot="1" x14ac:dyDescent="0.25">
      <c r="A49" s="39" t="str">
        <f t="shared" si="6"/>
        <v> PZ 22.340 </v>
      </c>
      <c r="B49" s="2" t="str">
        <f t="shared" si="7"/>
        <v>I</v>
      </c>
      <c r="C49" s="39">
        <f t="shared" si="8"/>
        <v>44490.400000000001</v>
      </c>
      <c r="D49" s="10" t="str">
        <f t="shared" si="9"/>
        <v>vis</v>
      </c>
      <c r="E49" s="47">
        <f>VLOOKUP(C49,Active!C$21:E$973,3,FALSE)</f>
        <v>-2268.9981390288676</v>
      </c>
      <c r="F49" s="2" t="s">
        <v>61</v>
      </c>
      <c r="G49" s="10" t="str">
        <f t="shared" si="10"/>
        <v>44490.400</v>
      </c>
      <c r="H49" s="39">
        <f t="shared" si="11"/>
        <v>-27995</v>
      </c>
      <c r="I49" s="48" t="s">
        <v>138</v>
      </c>
      <c r="J49" s="49" t="s">
        <v>139</v>
      </c>
      <c r="K49" s="48">
        <v>-27995</v>
      </c>
      <c r="L49" s="48" t="s">
        <v>140</v>
      </c>
      <c r="M49" s="49" t="s">
        <v>66</v>
      </c>
      <c r="N49" s="49"/>
      <c r="O49" s="50" t="s">
        <v>67</v>
      </c>
      <c r="P49" s="50" t="s">
        <v>68</v>
      </c>
    </row>
    <row r="50" spans="1:16" ht="12.75" customHeight="1" thickBot="1" x14ac:dyDescent="0.25">
      <c r="A50" s="39" t="str">
        <f t="shared" si="6"/>
        <v> PZ 22.340 </v>
      </c>
      <c r="B50" s="2" t="str">
        <f t="shared" si="7"/>
        <v>I</v>
      </c>
      <c r="C50" s="39">
        <f t="shared" si="8"/>
        <v>44904.245000000003</v>
      </c>
      <c r="D50" s="10" t="str">
        <f t="shared" si="9"/>
        <v>vis</v>
      </c>
      <c r="E50" s="47">
        <f>VLOOKUP(C50,Active!C$21:E$973,3,FALSE)</f>
        <v>-1005.0007681507257</v>
      </c>
      <c r="F50" s="2" t="s">
        <v>61</v>
      </c>
      <c r="G50" s="10" t="str">
        <f t="shared" si="10"/>
        <v>44904.245</v>
      </c>
      <c r="H50" s="39">
        <f t="shared" si="11"/>
        <v>-26731</v>
      </c>
      <c r="I50" s="48" t="s">
        <v>141</v>
      </c>
      <c r="J50" s="49" t="s">
        <v>142</v>
      </c>
      <c r="K50" s="48">
        <v>-26731</v>
      </c>
      <c r="L50" s="48" t="s">
        <v>143</v>
      </c>
      <c r="M50" s="49" t="s">
        <v>66</v>
      </c>
      <c r="N50" s="49"/>
      <c r="O50" s="50" t="s">
        <v>67</v>
      </c>
      <c r="P50" s="50" t="s">
        <v>68</v>
      </c>
    </row>
    <row r="51" spans="1:16" ht="12.75" customHeight="1" thickBot="1" x14ac:dyDescent="0.25">
      <c r="A51" s="39" t="str">
        <f t="shared" si="6"/>
        <v> PZ 22.340 </v>
      </c>
      <c r="B51" s="2" t="str">
        <f t="shared" si="7"/>
        <v>I</v>
      </c>
      <c r="C51" s="39">
        <f t="shared" si="8"/>
        <v>45226.415999999997</v>
      </c>
      <c r="D51" s="10" t="str">
        <f t="shared" si="9"/>
        <v>vis</v>
      </c>
      <c r="E51" s="47">
        <f>VLOOKUP(C51,Active!C$21:E$973,3,FALSE)</f>
        <v>-21.001210410088159</v>
      </c>
      <c r="F51" s="2" t="s">
        <v>61</v>
      </c>
      <c r="G51" s="10" t="str">
        <f t="shared" si="10"/>
        <v>45226.416</v>
      </c>
      <c r="H51" s="39">
        <f t="shared" si="11"/>
        <v>-25747</v>
      </c>
      <c r="I51" s="48" t="s">
        <v>144</v>
      </c>
      <c r="J51" s="49" t="s">
        <v>145</v>
      </c>
      <c r="K51" s="48">
        <v>-25747</v>
      </c>
      <c r="L51" s="48" t="s">
        <v>137</v>
      </c>
      <c r="M51" s="49" t="s">
        <v>66</v>
      </c>
      <c r="N51" s="49"/>
      <c r="O51" s="50" t="s">
        <v>67</v>
      </c>
      <c r="P51" s="50" t="s">
        <v>68</v>
      </c>
    </row>
    <row r="52" spans="1:16" ht="12.75" customHeight="1" thickBot="1" x14ac:dyDescent="0.25">
      <c r="A52" s="39" t="str">
        <f t="shared" si="6"/>
        <v> PZ 22.340 </v>
      </c>
      <c r="B52" s="2" t="str">
        <f t="shared" si="7"/>
        <v>I</v>
      </c>
      <c r="C52" s="39">
        <f t="shared" si="8"/>
        <v>45230.353000000003</v>
      </c>
      <c r="D52" s="10" t="str">
        <f t="shared" si="9"/>
        <v>vis</v>
      </c>
      <c r="E52" s="47">
        <f>VLOOKUP(C52,Active!C$21:E$973,3,FALSE)</f>
        <v>-8.9765208544477648</v>
      </c>
      <c r="F52" s="2" t="s">
        <v>61</v>
      </c>
      <c r="G52" s="10" t="str">
        <f t="shared" si="10"/>
        <v>45230.353</v>
      </c>
      <c r="H52" s="39">
        <f t="shared" si="11"/>
        <v>-25735</v>
      </c>
      <c r="I52" s="48" t="s">
        <v>146</v>
      </c>
      <c r="J52" s="49" t="s">
        <v>147</v>
      </c>
      <c r="K52" s="48">
        <v>-25735</v>
      </c>
      <c r="L52" s="48" t="s">
        <v>143</v>
      </c>
      <c r="M52" s="49" t="s">
        <v>66</v>
      </c>
      <c r="N52" s="49"/>
      <c r="O52" s="50" t="s">
        <v>67</v>
      </c>
      <c r="P52" s="50" t="s">
        <v>68</v>
      </c>
    </row>
    <row r="53" spans="1:16" ht="12.75" customHeight="1" thickBot="1" x14ac:dyDescent="0.25">
      <c r="A53" s="39" t="str">
        <f t="shared" si="6"/>
        <v> PZ 22.340 </v>
      </c>
      <c r="B53" s="2" t="str">
        <f t="shared" si="7"/>
        <v>I</v>
      </c>
      <c r="C53" s="39">
        <f t="shared" si="8"/>
        <v>45231.34</v>
      </c>
      <c r="D53" s="10" t="str">
        <f t="shared" si="9"/>
        <v>vis</v>
      </c>
      <c r="E53" s="47">
        <f>VLOOKUP(C53,Active!C$21:E$973,3,FALSE)</f>
        <v>-5.9619492031078272</v>
      </c>
      <c r="F53" s="2" t="s">
        <v>61</v>
      </c>
      <c r="G53" s="10" t="str">
        <f t="shared" si="10"/>
        <v>45231.340</v>
      </c>
      <c r="H53" s="39">
        <f t="shared" si="11"/>
        <v>-25732</v>
      </c>
      <c r="I53" s="48" t="s">
        <v>148</v>
      </c>
      <c r="J53" s="49" t="s">
        <v>149</v>
      </c>
      <c r="K53" s="48">
        <v>-25732</v>
      </c>
      <c r="L53" s="48" t="s">
        <v>150</v>
      </c>
      <c r="M53" s="49" t="s">
        <v>66</v>
      </c>
      <c r="N53" s="49"/>
      <c r="O53" s="50" t="s">
        <v>67</v>
      </c>
      <c r="P53" s="50" t="s">
        <v>68</v>
      </c>
    </row>
    <row r="54" spans="1:16" ht="12.75" customHeight="1" thickBot="1" x14ac:dyDescent="0.25">
      <c r="A54" s="39" t="str">
        <f t="shared" si="6"/>
        <v> PZ 22.340 </v>
      </c>
      <c r="B54" s="2" t="str">
        <f t="shared" si="7"/>
        <v>II</v>
      </c>
      <c r="C54" s="39">
        <f t="shared" si="8"/>
        <v>45237.373</v>
      </c>
      <c r="D54" s="10" t="str">
        <f t="shared" si="9"/>
        <v>vis</v>
      </c>
      <c r="E54" s="47">
        <f>VLOOKUP(C54,Active!C$21:E$973,3,FALSE)</f>
        <v>12.464505480437237</v>
      </c>
      <c r="F54" s="2" t="s">
        <v>61</v>
      </c>
      <c r="G54" s="10" t="str">
        <f t="shared" si="10"/>
        <v>45237.373</v>
      </c>
      <c r="H54" s="39">
        <f t="shared" si="11"/>
        <v>-25713.5</v>
      </c>
      <c r="I54" s="48" t="s">
        <v>153</v>
      </c>
      <c r="J54" s="49" t="s">
        <v>154</v>
      </c>
      <c r="K54" s="48">
        <v>-25713.5</v>
      </c>
      <c r="L54" s="48" t="s">
        <v>155</v>
      </c>
      <c r="M54" s="49" t="s">
        <v>66</v>
      </c>
      <c r="N54" s="49"/>
      <c r="O54" s="50" t="s">
        <v>67</v>
      </c>
      <c r="P54" s="50" t="s">
        <v>68</v>
      </c>
    </row>
    <row r="55" spans="1:16" ht="12.75" customHeight="1" thickBot="1" x14ac:dyDescent="0.25">
      <c r="A55" s="39" t="str">
        <f t="shared" si="6"/>
        <v> PZ 22.340 </v>
      </c>
      <c r="B55" s="2" t="str">
        <f t="shared" si="7"/>
        <v>II</v>
      </c>
      <c r="C55" s="39">
        <f t="shared" si="8"/>
        <v>45258.351999999999</v>
      </c>
      <c r="D55" s="10" t="str">
        <f t="shared" si="9"/>
        <v>vis</v>
      </c>
      <c r="E55" s="47">
        <f>VLOOKUP(C55,Active!C$21:E$973,3,FALSE)</f>
        <v>76.5401880274093</v>
      </c>
      <c r="F55" s="2" t="s">
        <v>61</v>
      </c>
      <c r="G55" s="10" t="str">
        <f t="shared" si="10"/>
        <v>45258.352</v>
      </c>
      <c r="H55" s="39">
        <f t="shared" si="11"/>
        <v>-25649.5</v>
      </c>
      <c r="I55" s="48" t="s">
        <v>156</v>
      </c>
      <c r="J55" s="49" t="s">
        <v>157</v>
      </c>
      <c r="K55" s="48">
        <v>-25649.5</v>
      </c>
      <c r="L55" s="48" t="s">
        <v>150</v>
      </c>
      <c r="M55" s="49" t="s">
        <v>66</v>
      </c>
      <c r="N55" s="49"/>
      <c r="O55" s="50" t="s">
        <v>67</v>
      </c>
      <c r="P55" s="50" t="s">
        <v>68</v>
      </c>
    </row>
    <row r="56" spans="1:16" ht="12.75" customHeight="1" thickBot="1" x14ac:dyDescent="0.25">
      <c r="A56" s="39" t="str">
        <f t="shared" si="6"/>
        <v> PZ 22.340 </v>
      </c>
      <c r="B56" s="2" t="str">
        <f t="shared" si="7"/>
        <v>I</v>
      </c>
      <c r="C56" s="39">
        <f t="shared" si="8"/>
        <v>45266.364999999998</v>
      </c>
      <c r="D56" s="10" t="str">
        <f t="shared" si="9"/>
        <v>vis</v>
      </c>
      <c r="E56" s="47">
        <f>VLOOKUP(C56,Active!C$21:E$973,3,FALSE)</f>
        <v>101.01411167719429</v>
      </c>
      <c r="F56" s="2" t="s">
        <v>61</v>
      </c>
      <c r="G56" s="10" t="str">
        <f t="shared" si="10"/>
        <v>45266.365</v>
      </c>
      <c r="H56" s="39">
        <f t="shared" si="11"/>
        <v>-25625</v>
      </c>
      <c r="I56" s="48" t="s">
        <v>158</v>
      </c>
      <c r="J56" s="49" t="s">
        <v>159</v>
      </c>
      <c r="K56" s="48">
        <v>-25625</v>
      </c>
      <c r="L56" s="48" t="s">
        <v>160</v>
      </c>
      <c r="M56" s="49" t="s">
        <v>66</v>
      </c>
      <c r="N56" s="49"/>
      <c r="O56" s="50" t="s">
        <v>67</v>
      </c>
      <c r="P56" s="50" t="s">
        <v>68</v>
      </c>
    </row>
    <row r="57" spans="1:16" ht="12.75" customHeight="1" thickBot="1" x14ac:dyDescent="0.25">
      <c r="A57" s="39" t="str">
        <f t="shared" si="6"/>
        <v> PZ 22.340 </v>
      </c>
      <c r="B57" s="2" t="str">
        <f t="shared" si="7"/>
        <v>II</v>
      </c>
      <c r="C57" s="39">
        <f t="shared" si="8"/>
        <v>45586.362000000001</v>
      </c>
      <c r="D57" s="10" t="str">
        <f t="shared" si="9"/>
        <v>vis</v>
      </c>
      <c r="E57" s="47">
        <f>VLOOKUP(C57,Active!C$21:E$973,3,FALSE)</f>
        <v>1078.373670664002</v>
      </c>
      <c r="F57" s="2" t="s">
        <v>61</v>
      </c>
      <c r="G57" s="10" t="str">
        <f t="shared" si="10"/>
        <v>45586.362</v>
      </c>
      <c r="H57" s="39">
        <f t="shared" si="11"/>
        <v>-24647.5</v>
      </c>
      <c r="I57" s="48" t="s">
        <v>161</v>
      </c>
      <c r="J57" s="49" t="s">
        <v>162</v>
      </c>
      <c r="K57" s="48">
        <v>-24647.5</v>
      </c>
      <c r="L57" s="48" t="s">
        <v>163</v>
      </c>
      <c r="M57" s="49" t="s">
        <v>66</v>
      </c>
      <c r="N57" s="49"/>
      <c r="O57" s="50" t="s">
        <v>67</v>
      </c>
      <c r="P57" s="50" t="s">
        <v>68</v>
      </c>
    </row>
    <row r="58" spans="1:16" ht="12.75" customHeight="1" thickBot="1" x14ac:dyDescent="0.25">
      <c r="A58" s="39" t="str">
        <f t="shared" si="6"/>
        <v> PZ 22.340 </v>
      </c>
      <c r="B58" s="2" t="str">
        <f t="shared" si="7"/>
        <v>II</v>
      </c>
      <c r="C58" s="39">
        <f t="shared" si="8"/>
        <v>45587.372000000003</v>
      </c>
      <c r="D58" s="10" t="str">
        <f t="shared" si="9"/>
        <v>vis</v>
      </c>
      <c r="E58" s="47">
        <f>VLOOKUP(C58,Active!C$21:E$973,3,FALSE)</f>
        <v>1081.458490692248</v>
      </c>
      <c r="F58" s="2" t="s">
        <v>61</v>
      </c>
      <c r="G58" s="10" t="str">
        <f t="shared" si="10"/>
        <v>45587.372</v>
      </c>
      <c r="H58" s="39">
        <f t="shared" si="11"/>
        <v>-24644.5</v>
      </c>
      <c r="I58" s="48" t="s">
        <v>164</v>
      </c>
      <c r="J58" s="49" t="s">
        <v>165</v>
      </c>
      <c r="K58" s="48">
        <v>-24644.5</v>
      </c>
      <c r="L58" s="48" t="s">
        <v>166</v>
      </c>
      <c r="M58" s="49" t="s">
        <v>66</v>
      </c>
      <c r="N58" s="49"/>
      <c r="O58" s="50" t="s">
        <v>67</v>
      </c>
      <c r="P58" s="50" t="s">
        <v>68</v>
      </c>
    </row>
    <row r="59" spans="1:16" ht="12.75" customHeight="1" thickBot="1" x14ac:dyDescent="0.25">
      <c r="A59" s="39" t="str">
        <f t="shared" si="6"/>
        <v> PZ 22.340 </v>
      </c>
      <c r="B59" s="2" t="str">
        <f t="shared" si="7"/>
        <v>II</v>
      </c>
      <c r="C59" s="39">
        <f t="shared" si="8"/>
        <v>45589.373</v>
      </c>
      <c r="D59" s="10" t="str">
        <f t="shared" si="9"/>
        <v>vis</v>
      </c>
      <c r="E59" s="47">
        <f>VLOOKUP(C59,Active!C$21:E$973,3,FALSE)</f>
        <v>1087.5700994808592</v>
      </c>
      <c r="F59" s="2" t="s">
        <v>61</v>
      </c>
      <c r="G59" s="10" t="str">
        <f t="shared" si="10"/>
        <v>45589.373</v>
      </c>
      <c r="H59" s="39">
        <f t="shared" si="11"/>
        <v>-24638.5</v>
      </c>
      <c r="I59" s="48" t="s">
        <v>167</v>
      </c>
      <c r="J59" s="49" t="s">
        <v>168</v>
      </c>
      <c r="K59" s="48">
        <v>-24638.5</v>
      </c>
      <c r="L59" s="48" t="s">
        <v>169</v>
      </c>
      <c r="M59" s="49" t="s">
        <v>66</v>
      </c>
      <c r="N59" s="49"/>
      <c r="O59" s="50" t="s">
        <v>67</v>
      </c>
      <c r="P59" s="50" t="s">
        <v>68</v>
      </c>
    </row>
    <row r="60" spans="1:16" ht="12.75" customHeight="1" thickBot="1" x14ac:dyDescent="0.25">
      <c r="A60" s="39" t="str">
        <f t="shared" si="6"/>
        <v> PZ 22.340 </v>
      </c>
      <c r="B60" s="2" t="str">
        <f t="shared" si="7"/>
        <v>I</v>
      </c>
      <c r="C60" s="39">
        <f t="shared" si="8"/>
        <v>45594.463000000003</v>
      </c>
      <c r="D60" s="10" t="str">
        <f t="shared" si="9"/>
        <v>vis</v>
      </c>
      <c r="E60" s="47">
        <f>VLOOKUP(C60,Active!C$21:E$973,3,FALSE)</f>
        <v>1103.1163707122973</v>
      </c>
      <c r="F60" s="2" t="s">
        <v>61</v>
      </c>
      <c r="G60" s="10" t="str">
        <f t="shared" si="10"/>
        <v>45594.463</v>
      </c>
      <c r="H60" s="39">
        <f t="shared" si="11"/>
        <v>-24623</v>
      </c>
      <c r="I60" s="48" t="s">
        <v>170</v>
      </c>
      <c r="J60" s="49" t="s">
        <v>171</v>
      </c>
      <c r="K60" s="48">
        <v>-24623</v>
      </c>
      <c r="L60" s="48" t="s">
        <v>172</v>
      </c>
      <c r="M60" s="49" t="s">
        <v>66</v>
      </c>
      <c r="N60" s="49"/>
      <c r="O60" s="50" t="s">
        <v>67</v>
      </c>
      <c r="P60" s="50" t="s">
        <v>68</v>
      </c>
    </row>
    <row r="61" spans="1:16" ht="12.75" customHeight="1" thickBot="1" x14ac:dyDescent="0.25">
      <c r="A61" s="39" t="str">
        <f t="shared" si="6"/>
        <v> PZ 22.340 </v>
      </c>
      <c r="B61" s="2" t="str">
        <f t="shared" si="7"/>
        <v>I</v>
      </c>
      <c r="C61" s="39">
        <f t="shared" si="8"/>
        <v>45620.326999999997</v>
      </c>
      <c r="D61" s="10" t="str">
        <f t="shared" si="9"/>
        <v>vis</v>
      </c>
      <c r="E61" s="47">
        <f>VLOOKUP(C61,Active!C$21:E$973,3,FALSE)</f>
        <v>1182.112197653265</v>
      </c>
      <c r="F61" s="2" t="s">
        <v>61</v>
      </c>
      <c r="G61" s="10" t="str">
        <f t="shared" si="10"/>
        <v>45620.327</v>
      </c>
      <c r="H61" s="39">
        <f t="shared" si="11"/>
        <v>-24544</v>
      </c>
      <c r="I61" s="48" t="s">
        <v>173</v>
      </c>
      <c r="J61" s="49" t="s">
        <v>174</v>
      </c>
      <c r="K61" s="48">
        <v>-24544</v>
      </c>
      <c r="L61" s="48" t="s">
        <v>131</v>
      </c>
      <c r="M61" s="49" t="s">
        <v>66</v>
      </c>
      <c r="N61" s="49"/>
      <c r="O61" s="50" t="s">
        <v>67</v>
      </c>
      <c r="P61" s="50" t="s">
        <v>68</v>
      </c>
    </row>
    <row r="62" spans="1:16" ht="12.75" customHeight="1" thickBot="1" x14ac:dyDescent="0.25">
      <c r="A62" s="39" t="str">
        <f t="shared" si="6"/>
        <v> BRNO 30 </v>
      </c>
      <c r="B62" s="2" t="str">
        <f t="shared" si="7"/>
        <v>I</v>
      </c>
      <c r="C62" s="39">
        <f t="shared" si="8"/>
        <v>47805.457000000002</v>
      </c>
      <c r="D62" s="10" t="str">
        <f t="shared" si="9"/>
        <v>vis</v>
      </c>
      <c r="E62" s="47">
        <f>VLOOKUP(C62,Active!C$21:E$973,3,FALSE)</f>
        <v>7856.1050573639104</v>
      </c>
      <c r="F62" s="2" t="s">
        <v>61</v>
      </c>
      <c r="G62" s="10" t="str">
        <f t="shared" si="10"/>
        <v>47805.457</v>
      </c>
      <c r="H62" s="39">
        <f t="shared" si="11"/>
        <v>-17870</v>
      </c>
      <c r="I62" s="48" t="s">
        <v>181</v>
      </c>
      <c r="J62" s="49" t="s">
        <v>182</v>
      </c>
      <c r="K62" s="48">
        <v>-17870</v>
      </c>
      <c r="L62" s="48" t="s">
        <v>183</v>
      </c>
      <c r="M62" s="49" t="s">
        <v>178</v>
      </c>
      <c r="N62" s="49"/>
      <c r="O62" s="50" t="s">
        <v>184</v>
      </c>
      <c r="P62" s="50" t="s">
        <v>185</v>
      </c>
    </row>
    <row r="63" spans="1:16" ht="12.75" customHeight="1" thickBot="1" x14ac:dyDescent="0.25">
      <c r="A63" s="39" t="str">
        <f t="shared" si="6"/>
        <v> BRNO 30 </v>
      </c>
      <c r="B63" s="2" t="str">
        <f t="shared" si="7"/>
        <v>I</v>
      </c>
      <c r="C63" s="39">
        <f t="shared" si="8"/>
        <v>47805.459000000003</v>
      </c>
      <c r="D63" s="10" t="str">
        <f t="shared" si="9"/>
        <v>vis</v>
      </c>
      <c r="E63" s="47">
        <f>VLOOKUP(C63,Active!C$21:E$973,3,FALSE)</f>
        <v>7856.1111659184226</v>
      </c>
      <c r="F63" s="2" t="s">
        <v>61</v>
      </c>
      <c r="G63" s="10" t="str">
        <f t="shared" si="10"/>
        <v>47805.459</v>
      </c>
      <c r="H63" s="39">
        <f t="shared" si="11"/>
        <v>-17870</v>
      </c>
      <c r="I63" s="48" t="s">
        <v>186</v>
      </c>
      <c r="J63" s="49" t="s">
        <v>187</v>
      </c>
      <c r="K63" s="48">
        <v>-17870</v>
      </c>
      <c r="L63" s="48" t="s">
        <v>188</v>
      </c>
      <c r="M63" s="49" t="s">
        <v>178</v>
      </c>
      <c r="N63" s="49"/>
      <c r="O63" s="50" t="s">
        <v>189</v>
      </c>
      <c r="P63" s="50" t="s">
        <v>185</v>
      </c>
    </row>
    <row r="64" spans="1:16" ht="12.75" customHeight="1" thickBot="1" x14ac:dyDescent="0.25">
      <c r="A64" s="39" t="str">
        <f t="shared" si="6"/>
        <v> BRNO 31 </v>
      </c>
      <c r="B64" s="2" t="str">
        <f t="shared" si="7"/>
        <v>I</v>
      </c>
      <c r="C64" s="39">
        <f t="shared" si="8"/>
        <v>48156.447</v>
      </c>
      <c r="D64" s="10" t="str">
        <f t="shared" si="9"/>
        <v>vis</v>
      </c>
      <c r="E64" s="47">
        <f>VLOOKUP(C64,Active!C$21:E$973,3,FALSE)</f>
        <v>8928.1258313360868</v>
      </c>
      <c r="F64" s="2" t="s">
        <v>61</v>
      </c>
      <c r="G64" s="10" t="str">
        <f t="shared" si="10"/>
        <v>48156.447</v>
      </c>
      <c r="H64" s="39">
        <f t="shared" si="11"/>
        <v>-16798</v>
      </c>
      <c r="I64" s="48" t="s">
        <v>190</v>
      </c>
      <c r="J64" s="49" t="s">
        <v>191</v>
      </c>
      <c r="K64" s="48">
        <v>-16798</v>
      </c>
      <c r="L64" s="48" t="s">
        <v>192</v>
      </c>
      <c r="M64" s="49" t="s">
        <v>178</v>
      </c>
      <c r="N64" s="49"/>
      <c r="O64" s="50" t="s">
        <v>193</v>
      </c>
      <c r="P64" s="50" t="s">
        <v>194</v>
      </c>
    </row>
    <row r="65" spans="1:16" ht="12.75" customHeight="1" thickBot="1" x14ac:dyDescent="0.25">
      <c r="A65" s="39" t="str">
        <f t="shared" si="6"/>
        <v> BBS 123 </v>
      </c>
      <c r="B65" s="2" t="str">
        <f t="shared" si="7"/>
        <v>II</v>
      </c>
      <c r="C65" s="39">
        <f t="shared" si="8"/>
        <v>51811.553999999996</v>
      </c>
      <c r="D65" s="10" t="str">
        <f t="shared" si="9"/>
        <v>vis</v>
      </c>
      <c r="E65" s="47">
        <f>VLOOKUP(C65,Active!C$21:E$973,3,FALSE)</f>
        <v>20091.83600852386</v>
      </c>
      <c r="F65" s="2" t="s">
        <v>61</v>
      </c>
      <c r="G65" s="10" t="str">
        <f t="shared" si="10"/>
        <v>51811.554</v>
      </c>
      <c r="H65" s="39">
        <f t="shared" si="11"/>
        <v>-5634.5</v>
      </c>
      <c r="I65" s="48" t="s">
        <v>206</v>
      </c>
      <c r="J65" s="49" t="s">
        <v>207</v>
      </c>
      <c r="K65" s="48">
        <v>-5634.5</v>
      </c>
      <c r="L65" s="48" t="s">
        <v>208</v>
      </c>
      <c r="M65" s="49" t="s">
        <v>178</v>
      </c>
      <c r="N65" s="49"/>
      <c r="O65" s="50" t="s">
        <v>179</v>
      </c>
      <c r="P65" s="50" t="s">
        <v>209</v>
      </c>
    </row>
    <row r="66" spans="1:16" ht="12.75" customHeight="1" thickBot="1" x14ac:dyDescent="0.25">
      <c r="A66" s="39" t="str">
        <f t="shared" si="6"/>
        <v> BBS 123 </v>
      </c>
      <c r="B66" s="2" t="str">
        <f t="shared" si="7"/>
        <v>I</v>
      </c>
      <c r="C66" s="39">
        <f t="shared" si="8"/>
        <v>51812.368000000002</v>
      </c>
      <c r="D66" s="10" t="str">
        <f t="shared" si="9"/>
        <v>vis</v>
      </c>
      <c r="E66" s="47">
        <f>VLOOKUP(C66,Active!C$21:E$973,3,FALSE)</f>
        <v>20094.322190210005</v>
      </c>
      <c r="F66" s="2" t="s">
        <v>61</v>
      </c>
      <c r="G66" s="10" t="str">
        <f t="shared" si="10"/>
        <v>51812.368</v>
      </c>
      <c r="H66" s="39">
        <f t="shared" si="11"/>
        <v>-5632</v>
      </c>
      <c r="I66" s="48" t="s">
        <v>210</v>
      </c>
      <c r="J66" s="49" t="s">
        <v>211</v>
      </c>
      <c r="K66" s="48">
        <v>-5632</v>
      </c>
      <c r="L66" s="48" t="s">
        <v>212</v>
      </c>
      <c r="M66" s="49" t="s">
        <v>178</v>
      </c>
      <c r="N66" s="49"/>
      <c r="O66" s="50" t="s">
        <v>179</v>
      </c>
      <c r="P66" s="50" t="s">
        <v>209</v>
      </c>
    </row>
    <row r="67" spans="1:16" ht="12.75" customHeight="1" thickBot="1" x14ac:dyDescent="0.25">
      <c r="A67" s="39" t="str">
        <f t="shared" si="6"/>
        <v> BBS 123 </v>
      </c>
      <c r="B67" s="2" t="str">
        <f t="shared" si="7"/>
        <v>I</v>
      </c>
      <c r="C67" s="39">
        <f t="shared" si="8"/>
        <v>51814.336000000003</v>
      </c>
      <c r="D67" s="10" t="str">
        <f t="shared" si="9"/>
        <v>vis</v>
      </c>
      <c r="E67" s="47">
        <f>VLOOKUP(C67,Active!C$21:E$973,3,FALSE)</f>
        <v>20100.333007849189</v>
      </c>
      <c r="F67" s="2" t="s">
        <v>61</v>
      </c>
      <c r="G67" s="10" t="str">
        <f t="shared" si="10"/>
        <v>51814.336</v>
      </c>
      <c r="H67" s="39">
        <f t="shared" si="11"/>
        <v>-5626</v>
      </c>
      <c r="I67" s="48" t="s">
        <v>213</v>
      </c>
      <c r="J67" s="49" t="s">
        <v>214</v>
      </c>
      <c r="K67" s="48">
        <v>-5626</v>
      </c>
      <c r="L67" s="48" t="s">
        <v>163</v>
      </c>
      <c r="M67" s="49" t="s">
        <v>178</v>
      </c>
      <c r="N67" s="49"/>
      <c r="O67" s="50" t="s">
        <v>179</v>
      </c>
      <c r="P67" s="50" t="s">
        <v>209</v>
      </c>
    </row>
    <row r="68" spans="1:16" ht="12.75" customHeight="1" thickBot="1" x14ac:dyDescent="0.25">
      <c r="A68" s="39" t="str">
        <f t="shared" si="6"/>
        <v> BBS 123 </v>
      </c>
      <c r="B68" s="2" t="str">
        <f t="shared" si="7"/>
        <v>II</v>
      </c>
      <c r="C68" s="39">
        <f t="shared" si="8"/>
        <v>51814.493000000002</v>
      </c>
      <c r="D68" s="10" t="str">
        <f t="shared" si="9"/>
        <v>vis</v>
      </c>
      <c r="E68" s="47">
        <f>VLOOKUP(C68,Active!C$21:E$973,3,FALSE)</f>
        <v>20100.812529378331</v>
      </c>
      <c r="F68" s="2" t="s">
        <v>61</v>
      </c>
      <c r="G68" s="10" t="str">
        <f t="shared" si="10"/>
        <v>51814.493</v>
      </c>
      <c r="H68" s="39">
        <f t="shared" si="11"/>
        <v>-5625.5</v>
      </c>
      <c r="I68" s="48" t="s">
        <v>215</v>
      </c>
      <c r="J68" s="49" t="s">
        <v>216</v>
      </c>
      <c r="K68" s="48">
        <v>-5625.5</v>
      </c>
      <c r="L68" s="48" t="s">
        <v>217</v>
      </c>
      <c r="M68" s="49" t="s">
        <v>178</v>
      </c>
      <c r="N68" s="49"/>
      <c r="O68" s="50" t="s">
        <v>179</v>
      </c>
      <c r="P68" s="50" t="s">
        <v>209</v>
      </c>
    </row>
    <row r="69" spans="1:16" ht="12.75" customHeight="1" thickBot="1" x14ac:dyDescent="0.25">
      <c r="A69" s="39" t="str">
        <f t="shared" si="6"/>
        <v> BBS 124 </v>
      </c>
      <c r="B69" s="2" t="str">
        <f t="shared" si="7"/>
        <v>I</v>
      </c>
      <c r="C69" s="39">
        <f t="shared" si="8"/>
        <v>51846.404999999999</v>
      </c>
      <c r="D69" s="10" t="str">
        <f t="shared" si="9"/>
        <v>vis</v>
      </c>
      <c r="E69" s="47">
        <f>VLOOKUP(C69,Active!C$21:E$973,3,FALSE)</f>
        <v>20198.280625161678</v>
      </c>
      <c r="F69" s="2" t="s">
        <v>61</v>
      </c>
      <c r="G69" s="10" t="str">
        <f t="shared" si="10"/>
        <v>51846.405</v>
      </c>
      <c r="H69" s="39">
        <f t="shared" si="11"/>
        <v>-5528</v>
      </c>
      <c r="I69" s="48" t="s">
        <v>218</v>
      </c>
      <c r="J69" s="49" t="s">
        <v>219</v>
      </c>
      <c r="K69" s="48">
        <v>-5528</v>
      </c>
      <c r="L69" s="48" t="s">
        <v>220</v>
      </c>
      <c r="M69" s="49" t="s">
        <v>178</v>
      </c>
      <c r="N69" s="49"/>
      <c r="O69" s="50" t="s">
        <v>179</v>
      </c>
      <c r="P69" s="50" t="s">
        <v>221</v>
      </c>
    </row>
    <row r="70" spans="1:16" ht="12.75" customHeight="1" thickBot="1" x14ac:dyDescent="0.25">
      <c r="A70" s="39" t="str">
        <f t="shared" si="6"/>
        <v> BBS 126 </v>
      </c>
      <c r="B70" s="2" t="str">
        <f t="shared" si="7"/>
        <v>I</v>
      </c>
      <c r="C70" s="39">
        <f t="shared" si="8"/>
        <v>52092.593999999997</v>
      </c>
      <c r="D70" s="10" t="str">
        <f t="shared" si="9"/>
        <v>vis</v>
      </c>
      <c r="E70" s="47">
        <f>VLOOKUP(C70,Active!C$21:E$973,3,FALSE)</f>
        <v>20950.210088461019</v>
      </c>
      <c r="F70" s="2" t="s">
        <v>61</v>
      </c>
      <c r="G70" s="10" t="str">
        <f t="shared" si="10"/>
        <v>52092.594</v>
      </c>
      <c r="H70" s="39">
        <f t="shared" si="11"/>
        <v>-4776</v>
      </c>
      <c r="I70" s="48" t="s">
        <v>222</v>
      </c>
      <c r="J70" s="49" t="s">
        <v>223</v>
      </c>
      <c r="K70" s="48">
        <v>-4776</v>
      </c>
      <c r="L70" s="48" t="s">
        <v>224</v>
      </c>
      <c r="M70" s="49" t="s">
        <v>178</v>
      </c>
      <c r="N70" s="49"/>
      <c r="O70" s="50" t="s">
        <v>179</v>
      </c>
      <c r="P70" s="50" t="s">
        <v>225</v>
      </c>
    </row>
    <row r="71" spans="1:16" ht="12.75" customHeight="1" thickBot="1" x14ac:dyDescent="0.25">
      <c r="A71" s="39" t="str">
        <f t="shared" si="6"/>
        <v> BBS 127 </v>
      </c>
      <c r="B71" s="2" t="str">
        <f t="shared" si="7"/>
        <v>I</v>
      </c>
      <c r="C71" s="39">
        <f t="shared" si="8"/>
        <v>52260.258000000002</v>
      </c>
      <c r="D71" s="10" t="str">
        <f t="shared" si="9"/>
        <v>vis</v>
      </c>
      <c r="E71" s="47">
        <f>VLOOKUP(C71,Active!C$21:E$973,3,FALSE)</f>
        <v>21462.302430257871</v>
      </c>
      <c r="F71" s="2" t="s">
        <v>61</v>
      </c>
      <c r="G71" s="10" t="str">
        <f t="shared" si="10"/>
        <v>52260.258</v>
      </c>
      <c r="H71" s="39">
        <f t="shared" si="11"/>
        <v>-4264</v>
      </c>
      <c r="I71" s="48" t="s">
        <v>226</v>
      </c>
      <c r="J71" s="49" t="s">
        <v>227</v>
      </c>
      <c r="K71" s="48">
        <v>-4264</v>
      </c>
      <c r="L71" s="48" t="s">
        <v>228</v>
      </c>
      <c r="M71" s="49" t="s">
        <v>178</v>
      </c>
      <c r="N71" s="49"/>
      <c r="O71" s="50" t="s">
        <v>179</v>
      </c>
      <c r="P71" s="50" t="s">
        <v>229</v>
      </c>
    </row>
    <row r="72" spans="1:16" ht="12.75" customHeight="1" thickBot="1" x14ac:dyDescent="0.25">
      <c r="A72" s="39" t="str">
        <f t="shared" si="6"/>
        <v> BBS 128 </v>
      </c>
      <c r="B72" s="2" t="str">
        <f t="shared" si="7"/>
        <v>I</v>
      </c>
      <c r="C72" s="39">
        <f t="shared" si="8"/>
        <v>52464.574999999997</v>
      </c>
      <c r="D72" s="10" t="str">
        <f t="shared" si="9"/>
        <v>vis</v>
      </c>
      <c r="E72" s="47">
        <f>VLOOKUP(C72,Active!C$21:E$973,3,FALSE)</f>
        <v>22086.343196307243</v>
      </c>
      <c r="F72" s="2" t="s">
        <v>61</v>
      </c>
      <c r="G72" s="10" t="str">
        <f t="shared" si="10"/>
        <v>52464.575</v>
      </c>
      <c r="H72" s="39">
        <f t="shared" si="11"/>
        <v>-3640</v>
      </c>
      <c r="I72" s="48" t="s">
        <v>230</v>
      </c>
      <c r="J72" s="49" t="s">
        <v>231</v>
      </c>
      <c r="K72" s="48">
        <v>-3640</v>
      </c>
      <c r="L72" s="48" t="s">
        <v>232</v>
      </c>
      <c r="M72" s="49" t="s">
        <v>178</v>
      </c>
      <c r="N72" s="49"/>
      <c r="O72" s="50" t="s">
        <v>179</v>
      </c>
      <c r="P72" s="50" t="s">
        <v>233</v>
      </c>
    </row>
    <row r="73" spans="1:16" ht="12.75" customHeight="1" thickBot="1" x14ac:dyDescent="0.25">
      <c r="A73" s="39" t="str">
        <f t="shared" si="6"/>
        <v>VSB 40 </v>
      </c>
      <c r="B73" s="2" t="str">
        <f t="shared" si="7"/>
        <v>I</v>
      </c>
      <c r="C73" s="39">
        <f t="shared" si="8"/>
        <v>52550.035300000003</v>
      </c>
      <c r="D73" s="10" t="str">
        <f t="shared" si="9"/>
        <v>vis</v>
      </c>
      <c r="E73" s="47">
        <f>VLOOKUP(C73,Active!C$21:E$973,3,FALSE)</f>
        <v>22347.362646861107</v>
      </c>
      <c r="F73" s="2" t="s">
        <v>61</v>
      </c>
      <c r="G73" s="10" t="str">
        <f t="shared" si="10"/>
        <v>52550.0353</v>
      </c>
      <c r="H73" s="39">
        <f t="shared" si="11"/>
        <v>-3379</v>
      </c>
      <c r="I73" s="48" t="s">
        <v>238</v>
      </c>
      <c r="J73" s="49" t="s">
        <v>239</v>
      </c>
      <c r="K73" s="48">
        <v>-3379</v>
      </c>
      <c r="L73" s="48" t="s">
        <v>240</v>
      </c>
      <c r="M73" s="49" t="s">
        <v>198</v>
      </c>
      <c r="N73" s="49" t="s">
        <v>199</v>
      </c>
      <c r="O73" s="50" t="s">
        <v>241</v>
      </c>
      <c r="P73" s="51" t="s">
        <v>242</v>
      </c>
    </row>
    <row r="74" spans="1:16" ht="12.75" customHeight="1" thickBot="1" x14ac:dyDescent="0.25">
      <c r="A74" s="39" t="str">
        <f t="shared" si="6"/>
        <v>VSB 40 </v>
      </c>
      <c r="B74" s="2" t="str">
        <f t="shared" si="7"/>
        <v>I</v>
      </c>
      <c r="C74" s="39">
        <f t="shared" si="8"/>
        <v>52551.015299999999</v>
      </c>
      <c r="D74" s="10" t="str">
        <f t="shared" si="9"/>
        <v>vis</v>
      </c>
      <c r="E74" s="47">
        <f>VLOOKUP(C74,Active!C$21:E$973,3,FALSE)</f>
        <v>22350.355838571664</v>
      </c>
      <c r="F74" s="2" t="s">
        <v>61</v>
      </c>
      <c r="G74" s="10" t="str">
        <f t="shared" si="10"/>
        <v>52551.0153</v>
      </c>
      <c r="H74" s="39">
        <f t="shared" si="11"/>
        <v>-3376</v>
      </c>
      <c r="I74" s="48" t="s">
        <v>243</v>
      </c>
      <c r="J74" s="49" t="s">
        <v>244</v>
      </c>
      <c r="K74" s="48">
        <v>-3376</v>
      </c>
      <c r="L74" s="48" t="s">
        <v>245</v>
      </c>
      <c r="M74" s="49" t="s">
        <v>198</v>
      </c>
      <c r="N74" s="49" t="s">
        <v>199</v>
      </c>
      <c r="O74" s="50" t="s">
        <v>241</v>
      </c>
      <c r="P74" s="51" t="s">
        <v>242</v>
      </c>
    </row>
    <row r="75" spans="1:16" ht="12.75" customHeight="1" thickBot="1" x14ac:dyDescent="0.25">
      <c r="A75" s="39" t="str">
        <f t="shared" si="6"/>
        <v>VSB 40 </v>
      </c>
      <c r="B75" s="2" t="str">
        <f t="shared" si="7"/>
        <v>I</v>
      </c>
      <c r="C75" s="39">
        <f t="shared" si="8"/>
        <v>52552.004699999998</v>
      </c>
      <c r="D75" s="10" t="str">
        <f t="shared" si="9"/>
        <v>vis</v>
      </c>
      <c r="E75" s="47">
        <f>VLOOKUP(C75,Active!C$21:E$973,3,FALSE)</f>
        <v>22353.377740488435</v>
      </c>
      <c r="F75" s="2" t="s">
        <v>61</v>
      </c>
      <c r="G75" s="10" t="str">
        <f t="shared" si="10"/>
        <v>52552.0047</v>
      </c>
      <c r="H75" s="39">
        <f t="shared" si="11"/>
        <v>-3373</v>
      </c>
      <c r="I75" s="48" t="s">
        <v>246</v>
      </c>
      <c r="J75" s="49" t="s">
        <v>247</v>
      </c>
      <c r="K75" s="48">
        <v>-3373</v>
      </c>
      <c r="L75" s="48" t="s">
        <v>248</v>
      </c>
      <c r="M75" s="49" t="s">
        <v>198</v>
      </c>
      <c r="N75" s="49" t="s">
        <v>199</v>
      </c>
      <c r="O75" s="50" t="s">
        <v>241</v>
      </c>
      <c r="P75" s="51" t="s">
        <v>242</v>
      </c>
    </row>
    <row r="76" spans="1:16" ht="12.75" customHeight="1" thickBot="1" x14ac:dyDescent="0.25">
      <c r="A76" s="39" t="str">
        <f t="shared" si="6"/>
        <v>VSB 40 </v>
      </c>
      <c r="B76" s="2" t="str">
        <f t="shared" si="7"/>
        <v>I</v>
      </c>
      <c r="C76" s="39">
        <f t="shared" si="8"/>
        <v>52552.984499999999</v>
      </c>
      <c r="D76" s="10" t="str">
        <f t="shared" si="9"/>
        <v>vis</v>
      </c>
      <c r="E76" s="47">
        <f>VLOOKUP(C76,Active!C$21:E$973,3,FALSE)</f>
        <v>22356.370321343555</v>
      </c>
      <c r="F76" s="2" t="s">
        <v>61</v>
      </c>
      <c r="G76" s="10" t="str">
        <f t="shared" si="10"/>
        <v>52552.9845</v>
      </c>
      <c r="H76" s="39">
        <f t="shared" si="11"/>
        <v>-3370</v>
      </c>
      <c r="I76" s="48" t="s">
        <v>249</v>
      </c>
      <c r="J76" s="49" t="s">
        <v>250</v>
      </c>
      <c r="K76" s="48">
        <v>-3370</v>
      </c>
      <c r="L76" s="48" t="s">
        <v>251</v>
      </c>
      <c r="M76" s="49" t="s">
        <v>198</v>
      </c>
      <c r="N76" s="49" t="s">
        <v>199</v>
      </c>
      <c r="O76" s="50" t="s">
        <v>241</v>
      </c>
      <c r="P76" s="51" t="s">
        <v>242</v>
      </c>
    </row>
    <row r="77" spans="1:16" ht="12.75" customHeight="1" thickBot="1" x14ac:dyDescent="0.25">
      <c r="A77" s="39" t="str">
        <f t="shared" si="6"/>
        <v>VSB 40 </v>
      </c>
      <c r="B77" s="2" t="str">
        <f t="shared" si="7"/>
        <v>II</v>
      </c>
      <c r="C77" s="39">
        <f t="shared" si="8"/>
        <v>52557.0772</v>
      </c>
      <c r="D77" s="10" t="str">
        <f t="shared" si="9"/>
        <v>vis</v>
      </c>
      <c r="E77" s="47">
        <f>VLOOKUP(C77,Active!C$21:E$973,3,FALSE)</f>
        <v>22368.870561867891</v>
      </c>
      <c r="F77" s="2" t="s">
        <v>61</v>
      </c>
      <c r="G77" s="10" t="str">
        <f t="shared" si="10"/>
        <v>52557.0772</v>
      </c>
      <c r="H77" s="39">
        <f t="shared" si="11"/>
        <v>-3357.5</v>
      </c>
      <c r="I77" s="48" t="s">
        <v>252</v>
      </c>
      <c r="J77" s="49" t="s">
        <v>253</v>
      </c>
      <c r="K77" s="48">
        <v>-3357.5</v>
      </c>
      <c r="L77" s="48" t="s">
        <v>251</v>
      </c>
      <c r="M77" s="49" t="s">
        <v>198</v>
      </c>
      <c r="N77" s="49" t="s">
        <v>199</v>
      </c>
      <c r="O77" s="50" t="s">
        <v>241</v>
      </c>
      <c r="P77" s="51" t="s">
        <v>242</v>
      </c>
    </row>
    <row r="78" spans="1:16" ht="12.75" customHeight="1" thickBot="1" x14ac:dyDescent="0.25">
      <c r="A78" s="39" t="str">
        <f t="shared" si="6"/>
        <v>VSB 40 </v>
      </c>
      <c r="B78" s="2" t="str">
        <f t="shared" si="7"/>
        <v>II</v>
      </c>
      <c r="C78" s="39">
        <f t="shared" si="8"/>
        <v>52558.059399999998</v>
      </c>
      <c r="D78" s="10" t="str">
        <f t="shared" si="9"/>
        <v>vis</v>
      </c>
      <c r="E78" s="47">
        <f>VLOOKUP(C78,Active!C$21:E$973,3,FALSE)</f>
        <v>22371.870472988419</v>
      </c>
      <c r="F78" s="2" t="s">
        <v>61</v>
      </c>
      <c r="G78" s="10" t="str">
        <f t="shared" si="10"/>
        <v>52558.0594</v>
      </c>
      <c r="H78" s="39">
        <f t="shared" si="11"/>
        <v>-3354.5</v>
      </c>
      <c r="I78" s="48" t="s">
        <v>254</v>
      </c>
      <c r="J78" s="49" t="s">
        <v>255</v>
      </c>
      <c r="K78" s="48">
        <v>-3354.5</v>
      </c>
      <c r="L78" s="48" t="s">
        <v>256</v>
      </c>
      <c r="M78" s="49" t="s">
        <v>198</v>
      </c>
      <c r="N78" s="49" t="s">
        <v>199</v>
      </c>
      <c r="O78" s="50" t="s">
        <v>241</v>
      </c>
      <c r="P78" s="51" t="s">
        <v>242</v>
      </c>
    </row>
    <row r="79" spans="1:16" ht="12.75" customHeight="1" thickBot="1" x14ac:dyDescent="0.25">
      <c r="A79" s="39" t="str">
        <f t="shared" si="6"/>
        <v>OEJV 0137 </v>
      </c>
      <c r="B79" s="2" t="str">
        <f t="shared" si="7"/>
        <v>I</v>
      </c>
      <c r="C79" s="39">
        <f t="shared" si="8"/>
        <v>55445.407899999998</v>
      </c>
      <c r="D79" s="10" t="str">
        <f t="shared" si="9"/>
        <v>vis</v>
      </c>
      <c r="E79" s="47">
        <f>VLOOKUP(C79,Active!C$21:E$973,3,FALSE)</f>
        <v>31190.633325768897</v>
      </c>
      <c r="F79" s="2" t="s">
        <v>61</v>
      </c>
      <c r="G79" s="10" t="str">
        <f t="shared" si="10"/>
        <v>55445.4079</v>
      </c>
      <c r="H79" s="39">
        <f t="shared" si="11"/>
        <v>5464</v>
      </c>
      <c r="I79" s="48" t="s">
        <v>285</v>
      </c>
      <c r="J79" s="49" t="s">
        <v>286</v>
      </c>
      <c r="K79" s="48" t="s">
        <v>287</v>
      </c>
      <c r="L79" s="48" t="s">
        <v>288</v>
      </c>
      <c r="M79" s="49" t="s">
        <v>274</v>
      </c>
      <c r="N79" s="49" t="s">
        <v>41</v>
      </c>
      <c r="O79" s="50" t="s">
        <v>289</v>
      </c>
      <c r="P79" s="51" t="s">
        <v>290</v>
      </c>
    </row>
    <row r="80" spans="1:1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</sheetData>
  <phoneticPr fontId="8" type="noConversion"/>
  <hyperlinks>
    <hyperlink ref="A3" r:id="rId1"/>
    <hyperlink ref="P13" r:id="rId2" display="http://www.konkoly.hu/cgi-bin/IBVS?4888"/>
    <hyperlink ref="P14" r:id="rId3" display="http://www.konkoly.hu/cgi-bin/IBVS?5263"/>
    <hyperlink ref="P73" r:id="rId4" display="http://vsolj.cetus-net.org/no40.pdf"/>
    <hyperlink ref="P74" r:id="rId5" display="http://vsolj.cetus-net.org/no40.pdf"/>
    <hyperlink ref="P75" r:id="rId6" display="http://vsolj.cetus-net.org/no40.pdf"/>
    <hyperlink ref="P76" r:id="rId7" display="http://vsolj.cetus-net.org/no40.pdf"/>
    <hyperlink ref="P77" r:id="rId8" display="http://vsolj.cetus-net.org/no40.pdf"/>
    <hyperlink ref="P78" r:id="rId9" display="http://vsolj.cetus-net.org/no40.pdf"/>
    <hyperlink ref="P17" r:id="rId10" display="http://var.astro.cz/oejv/issues/oejv0003.pdf"/>
    <hyperlink ref="P18" r:id="rId11" display="http://var.astro.cz/oejv/issues/oejv0003.pdf"/>
    <hyperlink ref="P19" r:id="rId12" display="http://www.konkoly.hu/cgi-bin/IBVS?5741"/>
    <hyperlink ref="P20" r:id="rId13" display="http://www.bav-astro.de/sfs/BAVM_link.php?BAVMnr=186"/>
    <hyperlink ref="P21" r:id="rId14" display="http://var.astro.cz/oejv/issues/oejv0155.pdf"/>
    <hyperlink ref="P79" r:id="rId15" display="http://var.astro.cz/oejv/issues/oejv0137.pdf"/>
    <hyperlink ref="P22" r:id="rId16" display="http://www.konkoly.hu/cgi-bin/IBVS?5960"/>
    <hyperlink ref="P23" r:id="rId17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2024-01-11T06:17:24Z</dcterms:modified>
</cp:coreProperties>
</file>