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B1289EF-6982-4FC5-8C20-BDE2AE2632F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7" i="1" l="1"/>
  <c r="E73" i="1"/>
  <c r="F73" i="1"/>
  <c r="G73" i="1"/>
  <c r="K73" i="1"/>
  <c r="Q73" i="1"/>
  <c r="E74" i="1"/>
  <c r="F74" i="1"/>
  <c r="G74" i="1"/>
  <c r="K74" i="1"/>
  <c r="Q74" i="1"/>
  <c r="E71" i="1"/>
  <c r="F71" i="1"/>
  <c r="E56" i="1"/>
  <c r="F56" i="1"/>
  <c r="E64" i="1"/>
  <c r="F64" i="1"/>
  <c r="D9" i="1"/>
  <c r="C9" i="1"/>
  <c r="Q68" i="1"/>
  <c r="Q70" i="1"/>
  <c r="Q71" i="1"/>
  <c r="Q72" i="1"/>
  <c r="E24" i="1"/>
  <c r="F24" i="1"/>
  <c r="E32" i="1"/>
  <c r="F32" i="1"/>
  <c r="E40" i="1"/>
  <c r="F40" i="1"/>
  <c r="E48" i="1"/>
  <c r="F48" i="1"/>
  <c r="E22" i="1"/>
  <c r="F22" i="1"/>
  <c r="Q6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5" i="1"/>
  <c r="Q49" i="1"/>
  <c r="Q55" i="1"/>
  <c r="Q56" i="1"/>
  <c r="Q57" i="1"/>
  <c r="Q63" i="1"/>
  <c r="G28" i="2"/>
  <c r="C28" i="2"/>
  <c r="G27" i="2"/>
  <c r="C27" i="2"/>
  <c r="G26" i="2"/>
  <c r="C26" i="2"/>
  <c r="G25" i="2"/>
  <c r="C25" i="2"/>
  <c r="E25" i="2"/>
  <c r="G56" i="2"/>
  <c r="C56" i="2"/>
  <c r="G24" i="2"/>
  <c r="C24" i="2"/>
  <c r="G23" i="2"/>
  <c r="C23" i="2"/>
  <c r="G22" i="2"/>
  <c r="C22" i="2"/>
  <c r="G21" i="2"/>
  <c r="C21" i="2"/>
  <c r="G20" i="2"/>
  <c r="C20" i="2"/>
  <c r="G55" i="2"/>
  <c r="C55" i="2"/>
  <c r="G54" i="2"/>
  <c r="C54" i="2"/>
  <c r="E54" i="2"/>
  <c r="G53" i="2"/>
  <c r="C53" i="2"/>
  <c r="G19" i="2"/>
  <c r="C19" i="2"/>
  <c r="G18" i="2"/>
  <c r="C18" i="2"/>
  <c r="G17" i="2"/>
  <c r="C17" i="2"/>
  <c r="G16" i="2"/>
  <c r="C16" i="2"/>
  <c r="G15" i="2"/>
  <c r="C15" i="2"/>
  <c r="G52" i="2"/>
  <c r="C52" i="2"/>
  <c r="G14" i="2"/>
  <c r="C14" i="2"/>
  <c r="E14" i="2"/>
  <c r="G13" i="2"/>
  <c r="C13" i="2"/>
  <c r="G12" i="2"/>
  <c r="C12" i="2"/>
  <c r="G51" i="2"/>
  <c r="C51" i="2"/>
  <c r="G11" i="2"/>
  <c r="C11" i="2"/>
  <c r="G50" i="2"/>
  <c r="C50" i="2"/>
  <c r="G49" i="2"/>
  <c r="C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E30" i="2"/>
  <c r="G29" i="2"/>
  <c r="C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56" i="2"/>
  <c r="B56" i="2"/>
  <c r="D56" i="2"/>
  <c r="A56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55" i="2"/>
  <c r="B55" i="2"/>
  <c r="D55" i="2"/>
  <c r="A55" i="2"/>
  <c r="H54" i="2"/>
  <c r="D54" i="2"/>
  <c r="B54" i="2"/>
  <c r="A54" i="2"/>
  <c r="H53" i="2"/>
  <c r="B53" i="2"/>
  <c r="D53" i="2"/>
  <c r="A5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52" i="2"/>
  <c r="B52" i="2"/>
  <c r="D52" i="2"/>
  <c r="A52" i="2"/>
  <c r="H14" i="2"/>
  <c r="D14" i="2"/>
  <c r="B14" i="2"/>
  <c r="A14" i="2"/>
  <c r="H13" i="2"/>
  <c r="B13" i="2"/>
  <c r="D13" i="2"/>
  <c r="A13" i="2"/>
  <c r="H12" i="2"/>
  <c r="D12" i="2"/>
  <c r="B12" i="2"/>
  <c r="A12" i="2"/>
  <c r="H51" i="2"/>
  <c r="B51" i="2"/>
  <c r="D51" i="2"/>
  <c r="A51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Q65" i="1"/>
  <c r="Q66" i="1"/>
  <c r="Q67" i="1"/>
  <c r="F16" i="1"/>
  <c r="F17" i="1" s="1"/>
  <c r="Q60" i="1"/>
  <c r="Q62" i="1"/>
  <c r="Q64" i="1"/>
  <c r="Q61" i="1"/>
  <c r="Q59" i="1"/>
  <c r="Q58" i="1"/>
  <c r="Q48" i="1"/>
  <c r="Q47" i="1"/>
  <c r="Q46" i="1"/>
  <c r="Q44" i="1"/>
  <c r="Q50" i="1"/>
  <c r="Q51" i="1"/>
  <c r="Q52" i="1"/>
  <c r="Q53" i="1"/>
  <c r="Q54" i="1"/>
  <c r="C7" i="1"/>
  <c r="C8" i="1"/>
  <c r="Q42" i="1"/>
  <c r="U74" i="1"/>
  <c r="E16" i="2"/>
  <c r="E29" i="2"/>
  <c r="E13" i="2"/>
  <c r="E50" i="2"/>
  <c r="E21" i="2"/>
  <c r="G45" i="1"/>
  <c r="I45" i="1"/>
  <c r="E43" i="1"/>
  <c r="F43" i="1"/>
  <c r="E35" i="1"/>
  <c r="E27" i="1"/>
  <c r="E67" i="1"/>
  <c r="F67" i="1"/>
  <c r="G61" i="1"/>
  <c r="K61" i="1"/>
  <c r="E59" i="1"/>
  <c r="F59" i="1"/>
  <c r="E51" i="1"/>
  <c r="F51" i="1"/>
  <c r="E68" i="1"/>
  <c r="F68" i="1"/>
  <c r="E45" i="1"/>
  <c r="F45" i="1"/>
  <c r="E37" i="1"/>
  <c r="F37" i="1"/>
  <c r="G37" i="1"/>
  <c r="I37" i="1"/>
  <c r="E29" i="1"/>
  <c r="F29" i="1"/>
  <c r="G29" i="1"/>
  <c r="I29" i="1"/>
  <c r="E61" i="1"/>
  <c r="F61" i="1"/>
  <c r="E53" i="1"/>
  <c r="F53" i="1"/>
  <c r="G53" i="1"/>
  <c r="I53" i="1"/>
  <c r="G70" i="1"/>
  <c r="K70" i="1"/>
  <c r="E21" i="1"/>
  <c r="F21" i="1"/>
  <c r="U21" i="1"/>
  <c r="E42" i="1"/>
  <c r="F42" i="1"/>
  <c r="G42" i="1"/>
  <c r="H42" i="1"/>
  <c r="E34" i="1"/>
  <c r="F34" i="1"/>
  <c r="G34" i="1"/>
  <c r="I34" i="1"/>
  <c r="E26" i="1"/>
  <c r="F26" i="1"/>
  <c r="G26" i="1"/>
  <c r="I26" i="1"/>
  <c r="G69" i="1"/>
  <c r="K69" i="1"/>
  <c r="E66" i="1"/>
  <c r="F66" i="1"/>
  <c r="G66" i="1"/>
  <c r="K66" i="1"/>
  <c r="E58" i="1"/>
  <c r="F58" i="1"/>
  <c r="G58" i="1"/>
  <c r="K58" i="1"/>
  <c r="E50" i="1"/>
  <c r="F50" i="1"/>
  <c r="G50" i="1"/>
  <c r="I50" i="1"/>
  <c r="U22" i="1"/>
  <c r="E47" i="1"/>
  <c r="F47" i="1"/>
  <c r="G47" i="1"/>
  <c r="H47" i="1"/>
  <c r="E39" i="1"/>
  <c r="F39" i="1"/>
  <c r="G39" i="1"/>
  <c r="I39" i="1"/>
  <c r="E31" i="1"/>
  <c r="F31" i="1"/>
  <c r="G31" i="1"/>
  <c r="I31" i="1"/>
  <c r="E23" i="1"/>
  <c r="F23" i="1"/>
  <c r="G23" i="1"/>
  <c r="I23" i="1"/>
  <c r="E63" i="1"/>
  <c r="F63" i="1"/>
  <c r="G63" i="1"/>
  <c r="K63" i="1"/>
  <c r="E55" i="1"/>
  <c r="F55" i="1"/>
  <c r="G55" i="1"/>
  <c r="K55" i="1"/>
  <c r="E70" i="1"/>
  <c r="F70" i="1"/>
  <c r="E44" i="1"/>
  <c r="G38" i="1"/>
  <c r="I38" i="1"/>
  <c r="E36" i="1"/>
  <c r="F36" i="1"/>
  <c r="G36" i="1"/>
  <c r="I36" i="1"/>
  <c r="G30" i="1"/>
  <c r="I30" i="1"/>
  <c r="E28" i="1"/>
  <c r="F28" i="1"/>
  <c r="G28" i="1"/>
  <c r="I28" i="1"/>
  <c r="E69" i="1"/>
  <c r="F69" i="1"/>
  <c r="E60" i="1"/>
  <c r="G54" i="1"/>
  <c r="I54" i="1"/>
  <c r="E52" i="1"/>
  <c r="U73" i="1"/>
  <c r="E49" i="1"/>
  <c r="G43" i="1"/>
  <c r="I43" i="1"/>
  <c r="E41" i="1"/>
  <c r="F41" i="1"/>
  <c r="G41" i="1"/>
  <c r="I41" i="1"/>
  <c r="E33" i="1"/>
  <c r="F33" i="1"/>
  <c r="G33" i="1"/>
  <c r="I33" i="1"/>
  <c r="E25" i="1"/>
  <c r="F25" i="1"/>
  <c r="G25" i="1"/>
  <c r="I25" i="1"/>
  <c r="G67" i="1"/>
  <c r="K67" i="1"/>
  <c r="E65" i="1"/>
  <c r="G59" i="1"/>
  <c r="K59" i="1"/>
  <c r="E57" i="1"/>
  <c r="G51" i="1"/>
  <c r="I51" i="1"/>
  <c r="E72" i="1"/>
  <c r="F72" i="1"/>
  <c r="G72" i="1"/>
  <c r="K72" i="1"/>
  <c r="G68" i="1"/>
  <c r="K68" i="1"/>
  <c r="G48" i="1"/>
  <c r="H48" i="1"/>
  <c r="E46" i="1"/>
  <c r="F46" i="1"/>
  <c r="G46" i="1"/>
  <c r="H46" i="1"/>
  <c r="G40" i="1"/>
  <c r="I40" i="1"/>
  <c r="E38" i="1"/>
  <c r="F38" i="1"/>
  <c r="G32" i="1"/>
  <c r="I32" i="1"/>
  <c r="E30" i="1"/>
  <c r="F30" i="1"/>
  <c r="G24" i="1"/>
  <c r="I24" i="1"/>
  <c r="G64" i="1"/>
  <c r="E62" i="1"/>
  <c r="F62" i="1"/>
  <c r="G62" i="1"/>
  <c r="K62" i="1"/>
  <c r="G56" i="1"/>
  <c r="K56" i="1"/>
  <c r="E54" i="1"/>
  <c r="F54" i="1"/>
  <c r="G71" i="1"/>
  <c r="K71" i="1"/>
  <c r="F52" i="1"/>
  <c r="G52" i="1"/>
  <c r="I52" i="1"/>
  <c r="E17" i="2"/>
  <c r="E18" i="2"/>
  <c r="E34" i="2"/>
  <c r="E28" i="2"/>
  <c r="E49" i="2"/>
  <c r="E51" i="2"/>
  <c r="E27" i="2"/>
  <c r="F60" i="1"/>
  <c r="G60" i="1"/>
  <c r="I60" i="1"/>
  <c r="E22" i="2"/>
  <c r="F27" i="1"/>
  <c r="G27" i="1"/>
  <c r="I27" i="1"/>
  <c r="E35" i="2"/>
  <c r="E45" i="2"/>
  <c r="E23" i="2"/>
  <c r="E24" i="2"/>
  <c r="E37" i="2"/>
  <c r="K64" i="1"/>
  <c r="F44" i="1"/>
  <c r="G44" i="1"/>
  <c r="H44" i="1"/>
  <c r="E11" i="2"/>
  <c r="E47" i="2"/>
  <c r="E42" i="2"/>
  <c r="E12" i="2"/>
  <c r="E19" i="2"/>
  <c r="E55" i="2"/>
  <c r="F57" i="1"/>
  <c r="G57" i="1"/>
  <c r="I57" i="1"/>
  <c r="F35" i="1"/>
  <c r="G35" i="1"/>
  <c r="I35" i="1"/>
  <c r="E43" i="2"/>
  <c r="E46" i="2"/>
  <c r="E41" i="2"/>
  <c r="E38" i="2"/>
  <c r="E36" i="2"/>
  <c r="F65" i="1"/>
  <c r="G65" i="1"/>
  <c r="E26" i="2"/>
  <c r="E52" i="2"/>
  <c r="F49" i="1"/>
  <c r="G49" i="1"/>
  <c r="I49" i="1"/>
  <c r="E56" i="2"/>
  <c r="E44" i="2"/>
  <c r="E33" i="2"/>
  <c r="E31" i="2"/>
  <c r="E20" i="2"/>
  <c r="E39" i="2"/>
  <c r="E53" i="2"/>
  <c r="E15" i="2"/>
  <c r="K65" i="1"/>
  <c r="C12" i="1"/>
  <c r="C11" i="1"/>
  <c r="O72" i="1" l="1"/>
  <c r="O67" i="1"/>
  <c r="O63" i="1"/>
  <c r="O61" i="1"/>
  <c r="O58" i="1"/>
  <c r="O52" i="1"/>
  <c r="O73" i="1"/>
  <c r="O64" i="1"/>
  <c r="O62" i="1"/>
  <c r="O51" i="1"/>
  <c r="O71" i="1"/>
  <c r="O70" i="1"/>
  <c r="O57" i="1"/>
  <c r="O69" i="1"/>
  <c r="O66" i="1"/>
  <c r="O60" i="1"/>
  <c r="O54" i="1"/>
  <c r="O55" i="1"/>
  <c r="O74" i="1"/>
  <c r="C15" i="1"/>
  <c r="O68" i="1"/>
  <c r="O59" i="1"/>
  <c r="O56" i="1"/>
  <c r="O53" i="1"/>
  <c r="O6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<sst xmlns="http://schemas.openxmlformats.org/spreadsheetml/2006/main" count="540" uniqueCount="258">
  <si>
    <t>VSB-66</t>
  </si>
  <si>
    <t>VSB-063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</si>
  <si>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</si>
  <si>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</si>
  <si>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</si>
  <si>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</si>
  <si>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</si>
  <si>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</si>
  <si>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</si>
  <si>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</si>
  <si>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</si>
  <si>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</si>
  <si>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</si>
  <si>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</si>
  <si>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</si>
  <si>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</si>
  <si>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</si>
  <si>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</si>
  <si>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</si>
  <si>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</si>
  <si>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</si>
  <si>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</si>
  <si>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</si>
  <si>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</si>
  <si>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</si>
  <si>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</si>
  <si>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</si>
  <si>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</si>
  <si>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BAAVSS 60,15</t>
  </si>
  <si>
    <t>K</t>
  </si>
  <si>
    <t>Paschke A</t>
  </si>
  <si>
    <t>BBSAG Bull.82</t>
  </si>
  <si>
    <t>B</t>
  </si>
  <si>
    <t>Mavrofridis G</t>
  </si>
  <si>
    <t>BBSAG Bull.86</t>
  </si>
  <si>
    <t>IBVS 0035</t>
  </si>
  <si>
    <t># of data points:</t>
  </si>
  <si>
    <t>EB/KE</t>
  </si>
  <si>
    <t>SU Aqr / GSC 05819-01009</t>
  </si>
  <si>
    <t>Whitney 1959</t>
  </si>
  <si>
    <t>1959AJ.....64..258W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</si>
  <si>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</si>
  <si>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</si>
  <si>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</si>
  <si>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</si>
  <si>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</si>
  <si>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</si>
  <si>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</si>
  <si>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</si>
  <si>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OEJV 0001</t>
  </si>
  <si>
    <t>vis</t>
  </si>
  <si>
    <t>IBVS 6007</t>
  </si>
  <si>
    <t>IBVS 6011</t>
  </si>
  <si>
    <t>Add cycle</t>
  </si>
  <si>
    <t>Old Cycle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</si>
  <si>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</si>
  <si>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</si>
  <si>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</si>
  <si>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</si>
  <si>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</si>
  <si>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</si>
  <si>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</si>
  <si>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</si>
  <si>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</si>
  <si>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</si>
  <si>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</si>
  <si>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</si>
  <si>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</si>
  <si>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2419282.41 </t>
  </si>
  <si>
    <t> 02.09.1911 21:50 </t>
  </si>
  <si>
    <t> -0.04 </t>
  </si>
  <si>
    <t>V </t>
  </si>
  <si>
    <t> E.Zinner </t>
  </si>
  <si>
    <t> AN 202.245 </t>
  </si>
  <si>
    <t>2419305.492 </t>
  </si>
  <si>
    <t> 25.09.1911 23:48 </t>
  </si>
  <si>
    <t> 0.060 </t>
  </si>
  <si>
    <t> AN 242.211 </t>
  </si>
  <si>
    <t>2419632.41 </t>
  </si>
  <si>
    <t> 17.08.1912 21:50 </t>
  </si>
  <si>
    <t> -0.01 </t>
  </si>
  <si>
    <t>2419655.42 </t>
  </si>
  <si>
    <t> 09.09.1912 22:04 </t>
  </si>
  <si>
    <t> 0.01 </t>
  </si>
  <si>
    <t>2419702.41 </t>
  </si>
  <si>
    <t> 26.10.1912 21:50 </t>
  </si>
  <si>
    <t>2419707.648 </t>
  </si>
  <si>
    <t> 01.11.1912 03:33 </t>
  </si>
  <si>
    <t> 0.007 </t>
  </si>
  <si>
    <t>2419745.26 </t>
  </si>
  <si>
    <t> 08.12.1912 18:14 </t>
  </si>
  <si>
    <t>2420063.884 </t>
  </si>
  <si>
    <t> 23.10.1913 09:12 </t>
  </si>
  <si>
    <t> 0.001 </t>
  </si>
  <si>
    <t>2420072.23 </t>
  </si>
  <si>
    <t> 31.10.1913 17:31 </t>
  </si>
  <si>
    <t>2424004.48 </t>
  </si>
  <si>
    <t> 06.08.1924 23:31 </t>
  </si>
  <si>
    <t> -0.00 </t>
  </si>
  <si>
    <t> E.Lange </t>
  </si>
  <si>
    <t> AN 228.72 </t>
  </si>
  <si>
    <t>2424036.860 </t>
  </si>
  <si>
    <t> 08.09.1924 08:38 </t>
  </si>
  <si>
    <t> -0.010 </t>
  </si>
  <si>
    <t> W.Zessewitsch </t>
  </si>
  <si>
    <t> IODE 4.1.46 </t>
  </si>
  <si>
    <t>2424794.260 </t>
  </si>
  <si>
    <t> 05.10.1926 18:14 </t>
  </si>
  <si>
    <t> -0.016 </t>
  </si>
  <si>
    <t> G.B.Lacchini </t>
  </si>
  <si>
    <t> AN 229.284 </t>
  </si>
  <si>
    <t>2426272.522 </t>
  </si>
  <si>
    <t> 23.10.1930 00:31 </t>
  </si>
  <si>
    <t> -0.002 </t>
  </si>
  <si>
    <t> R.S.Dugan </t>
  </si>
  <si>
    <t> CPRI 25.21 </t>
  </si>
  <si>
    <t>2426573.393 </t>
  </si>
  <si>
    <t> 19.08.1931 21:25 </t>
  </si>
  <si>
    <t> -0.004 </t>
  </si>
  <si>
    <t>2426624.587 </t>
  </si>
  <si>
    <t> 10.10.1931 02:05 </t>
  </si>
  <si>
    <t> 0.000 </t>
  </si>
  <si>
    <t>2427723.607 </t>
  </si>
  <si>
    <t> 13.10.1934 02:34 </t>
  </si>
  <si>
    <t> Dugan (Whitney) </t>
  </si>
  <si>
    <t> CPRI 25.25 </t>
  </si>
  <si>
    <t>2430612.202 </t>
  </si>
  <si>
    <t> 09.09.1942 16:50 </t>
  </si>
  <si>
    <t> 0.003 </t>
  </si>
  <si>
    <t>2430637.2894 </t>
  </si>
  <si>
    <t> 04.10.1942 18:56 </t>
  </si>
  <si>
    <t> 0.0172 </t>
  </si>
  <si>
    <t> S.Nekrasova </t>
  </si>
  <si>
    <t> IKRI 3.73 </t>
  </si>
  <si>
    <t>2431000.836 </t>
  </si>
  <si>
    <t> 03.10.1943 08:03 </t>
  </si>
  <si>
    <t> 0.009 </t>
  </si>
  <si>
    <t>2434239.389 </t>
  </si>
  <si>
    <t> 14.08.1952 21:20 </t>
  </si>
  <si>
    <t> K.Kordylewski </t>
  </si>
  <si>
    <t> SAC 28.106 </t>
  </si>
  <si>
    <t>2435339.451 </t>
  </si>
  <si>
    <t> 19.08.1955 22:49 </t>
  </si>
  <si>
    <t> -0.007 </t>
  </si>
  <si>
    <t> G.A.Lange </t>
  </si>
  <si>
    <t> AC 175.18 </t>
  </si>
  <si>
    <t>2435341.546 </t>
  </si>
  <si>
    <t> 22.08.1955 01:06 </t>
  </si>
  <si>
    <t>2435367.664 </t>
  </si>
  <si>
    <t> 17.09.1955 03:56 </t>
  </si>
  <si>
    <t> -0.001 </t>
  </si>
  <si>
    <t> B.S.Whitney </t>
  </si>
  <si>
    <t> AJ 64.260 </t>
  </si>
  <si>
    <t>2435691.498 </t>
  </si>
  <si>
    <t> 05.08.1956 23:57 </t>
  </si>
  <si>
    <t> -0.024 </t>
  </si>
  <si>
    <t>2435697.790 </t>
  </si>
  <si>
    <t> 12.08.1956 06:57 </t>
  </si>
  <si>
    <t>2436047.769 </t>
  </si>
  <si>
    <t> 28.07.1957 06:27 </t>
  </si>
  <si>
    <t> 0.005 </t>
  </si>
  <si>
    <t>2436158.505 </t>
  </si>
  <si>
    <t> 16.11.1957 00:07 </t>
  </si>
  <si>
    <t>2436436.402 </t>
  </si>
  <si>
    <t> 20.08.1958 21:38 </t>
  </si>
  <si>
    <t> 0.011 </t>
  </si>
  <si>
    <t> AC 200.15 </t>
  </si>
  <si>
    <t>2438262.521 </t>
  </si>
  <si>
    <t> 21.08.1963 00:30 </t>
  </si>
  <si>
    <t>IBVS 35 </t>
  </si>
  <si>
    <t>2445577.498 </t>
  </si>
  <si>
    <t> 30.08.1983 23:57 </t>
  </si>
  <si>
    <t> T.Brelstaff </t>
  </si>
  <si>
    <t> VSSC 60.18 </t>
  </si>
  <si>
    <t>2446742.334 </t>
  </si>
  <si>
    <t> 07.11.1986 20:00 </t>
  </si>
  <si>
    <t> A.Paschke </t>
  </si>
  <si>
    <t> BBS 82 </t>
  </si>
  <si>
    <t>2446764.27 </t>
  </si>
  <si>
    <t> 29.11.1986 18:28 </t>
  </si>
  <si>
    <t>2447092.324 </t>
  </si>
  <si>
    <t> 23.10.1987 19:46 </t>
  </si>
  <si>
    <t> 0.012 </t>
  </si>
  <si>
    <t> G.Mavrofridis </t>
  </si>
  <si>
    <t> BBS 86 </t>
  </si>
  <si>
    <t>2451434.074 </t>
  </si>
  <si>
    <t> 12.09.1999 13:46 </t>
  </si>
  <si>
    <t>C </t>
  </si>
  <si>
    <t> K.Nagai </t>
  </si>
  <si>
    <t>VSB 47 </t>
  </si>
  <si>
    <t>2452862.1773 </t>
  </si>
  <si>
    <t> 10.08.2003 16:15 </t>
  </si>
  <si>
    <t> -0.0022 </t>
  </si>
  <si>
    <t>E </t>
  </si>
  <si>
    <t>?</t>
  </si>
  <si>
    <t>VSB 42 </t>
  </si>
  <si>
    <t>2452913.384 </t>
  </si>
  <si>
    <t> 30.09.2003 21:12 </t>
  </si>
  <si>
    <t> 0.014 </t>
  </si>
  <si>
    <t> R.Meyer </t>
  </si>
  <si>
    <t>BAVM 171 </t>
  </si>
  <si>
    <t>2453250.8167 </t>
  </si>
  <si>
    <t> 02.09.2004 07:36 </t>
  </si>
  <si>
    <t> 0.0095 </t>
  </si>
  <si>
    <t>-I</t>
  </si>
  <si>
    <t> W.Ogloza et al. </t>
  </si>
  <si>
    <t>IBVS 5843 </t>
  </si>
  <si>
    <t>2453251.8540 </t>
  </si>
  <si>
    <t> 03.09.2004 08:29 </t>
  </si>
  <si>
    <t>719</t>
  </si>
  <si>
    <t> 0.0021 </t>
  </si>
  <si>
    <t>2453265.430 </t>
  </si>
  <si>
    <t> 16.09.2004 22:19 </t>
  </si>
  <si>
    <t>732</t>
  </si>
  <si>
    <t>BAVM 174 </t>
  </si>
  <si>
    <t>2453974.7854 </t>
  </si>
  <si>
    <t> 27.08.2006 06:50 </t>
  </si>
  <si>
    <t>1411</t>
  </si>
  <si>
    <t> 0.0024 </t>
  </si>
  <si>
    <t>2455052.91784 </t>
  </si>
  <si>
    <t> 09.08.2009 10:01 </t>
  </si>
  <si>
    <t>2443</t>
  </si>
  <si>
    <t> 0.00638 </t>
  </si>
  <si>
    <t> P.Zasche </t>
  </si>
  <si>
    <t>IBVS 6007 </t>
  </si>
  <si>
    <t>2455080.0794 </t>
  </si>
  <si>
    <t> 05.09.2009 13:54 </t>
  </si>
  <si>
    <t>2469</t>
  </si>
  <si>
    <t> 0.0058 </t>
  </si>
  <si>
    <t>Ic</t>
  </si>
  <si>
    <t>VSB 50 </t>
  </si>
  <si>
    <t>2455866.7360 </t>
  </si>
  <si>
    <t> 01.11.2011 05:39 </t>
  </si>
  <si>
    <t>3222</t>
  </si>
  <si>
    <t> 0.0047 </t>
  </si>
  <si>
    <t> R.Diethelm </t>
  </si>
  <si>
    <t>IBVS 6011 </t>
  </si>
  <si>
    <t>2456163.42425 </t>
  </si>
  <si>
    <t> 23.08.2012 22:10 </t>
  </si>
  <si>
    <t>3506</t>
  </si>
  <si>
    <t> -0.00129 </t>
  </si>
  <si>
    <t> R.Uhlar </t>
  </si>
  <si>
    <t>IBVS 6114 </t>
  </si>
  <si>
    <t>2456209.39248 </t>
  </si>
  <si>
    <t> 08.10.2012 21:25 </t>
  </si>
  <si>
    <t>3550</t>
  </si>
  <si>
    <t> 0.00022 </t>
  </si>
  <si>
    <t>R</t>
  </si>
  <si>
    <t>2456889.48945 </t>
  </si>
  <si>
    <t> 19.08.2014 23:44 </t>
  </si>
  <si>
    <t>4201</t>
  </si>
  <si>
    <t> -0.00127 </t>
  </si>
  <si>
    <t>s5</t>
  </si>
  <si>
    <t>s6</t>
  </si>
  <si>
    <t>s7</t>
  </si>
  <si>
    <t>BAD?</t>
  </si>
  <si>
    <t>JAVSO..48..256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</si>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</sst>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u/>
      <sz val="10"/>
      <color indexed="12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7" fillId="0" borderId="0" xfId="38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8" fillId="0" borderId="0" xfId="0" applyFont="1">
      <alignment vertical="top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3" fillId="24" borderId="18" xfId="38" applyFill="1" applyBorder="1" applyAlignment="1" applyProtection="1">
      <alignment horizontal="right" vertical="top" wrapText="1"/>
    </xf>
    <xf numFmtId="0" fontId="20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43" applyFont="1" applyAlignment="1">
      <alignment horizontal="left"/>
    </xf>
    <xf numFmtId="0" fontId="21" fillId="0" borderId="0" xfId="43" applyFont="1" applyAlignment="1">
      <alignment horizont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1">
                  <c:v>0</c:v>
                </c:pt>
                <c:pt idx="23">
                  <c:v>-8.6759999976493418E-4</c:v>
                </c:pt>
                <c:pt idx="25">
                  <c:v>3.1160000071395189E-4</c:v>
                </c:pt>
                <c:pt idx="26">
                  <c:v>5.2136000012978911E-3</c:v>
                </c:pt>
                <c:pt idx="27">
                  <c:v>3.1407999995280989E-3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FA-4BD4-8991-F2BF80C8D4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-1.5420000017911661E-3</c:v>
                </c:pt>
                <c:pt idx="3">
                  <c:v>2.5084399996558204E-2</c:v>
                </c:pt>
                <c:pt idx="4">
                  <c:v>3.6384000013640616E-3</c:v>
                </c:pt>
                <c:pt idx="5">
                  <c:v>1.8144400000892347E-2</c:v>
                </c:pt>
                <c:pt idx="6">
                  <c:v>2.0987599997170037E-2</c:v>
                </c:pt>
                <c:pt idx="7">
                  <c:v>1.1853600000904407E-2</c:v>
                </c:pt>
                <c:pt idx="8">
                  <c:v>2.6319999960833229E-4</c:v>
                </c:pt>
                <c:pt idx="9">
                  <c:v>3.9799999976821709E-3</c:v>
                </c:pt>
                <c:pt idx="10">
                  <c:v>-1.6828000007080846E-3</c:v>
                </c:pt>
                <c:pt idx="11">
                  <c:v>-8.312800000567222E-3</c:v>
                </c:pt>
                <c:pt idx="12">
                  <c:v>4.8851999999897089E-3</c:v>
                </c:pt>
                <c:pt idx="13">
                  <c:v>2.6308000014978461E-3</c:v>
                </c:pt>
                <c:pt idx="14">
                  <c:v>6.3895999992382713E-3</c:v>
                </c:pt>
                <c:pt idx="15">
                  <c:v>3.2519999986106995E-3</c:v>
                </c:pt>
                <c:pt idx="16">
                  <c:v>6.0700000030919909E-3</c:v>
                </c:pt>
                <c:pt idx="17">
                  <c:v>2.0698800002719508E-2</c:v>
                </c:pt>
                <c:pt idx="18">
                  <c:v>1.2116400001104921E-2</c:v>
                </c:pt>
                <c:pt idx="19">
                  <c:v>-1.1635999981081113E-3</c:v>
                </c:pt>
                <c:pt idx="20">
                  <c:v>-6.9999999977881089E-3</c:v>
                </c:pt>
                <c:pt idx="22">
                  <c:v>-1.3975999972899444E-3</c:v>
                </c:pt>
                <c:pt idx="24">
                  <c:v>-2.349559999856865E-2</c:v>
                </c:pt>
                <c:pt idx="28">
                  <c:v>1.0260000002745073E-2</c:v>
                </c:pt>
                <c:pt idx="29">
                  <c:v>-4.2423999984748662E-3</c:v>
                </c:pt>
                <c:pt idx="30">
                  <c:v>-8.2400000028428622E-3</c:v>
                </c:pt>
                <c:pt idx="31">
                  <c:v>-1.1401999996451195E-2</c:v>
                </c:pt>
                <c:pt idx="32">
                  <c:v>-1.4076800005568657E-2</c:v>
                </c:pt>
                <c:pt idx="33">
                  <c:v>4.5000000027357601E-3</c:v>
                </c:pt>
                <c:pt idx="36">
                  <c:v>2.7864000003319234E-3</c:v>
                </c:pt>
                <c:pt idx="39">
                  <c:v>-1.4709199997014366E-2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FA-4BD4-8991-F2BF80C8D4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FA-4BD4-8991-F2BF80C8D4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-1.3712799998756964E-2</c:v>
                </c:pt>
                <c:pt idx="35">
                  <c:v>-1.3672399996721651E-2</c:v>
                </c:pt>
                <c:pt idx="37">
                  <c:v>-2.2259999896050431E-3</c:v>
                </c:pt>
                <c:pt idx="38">
                  <c:v>-9.6247999972547404E-3</c:v>
                </c:pt>
                <c:pt idx="40">
                  <c:v>-9.7943999935523607E-3</c:v>
                </c:pt>
                <c:pt idx="41">
                  <c:v>-6.5159999940078706E-3</c:v>
                </c:pt>
                <c:pt idx="42">
                  <c:v>-7.124799994926434E-3</c:v>
                </c:pt>
                <c:pt idx="43">
                  <c:v>-8.7211999998544343E-3</c:v>
                </c:pt>
                <c:pt idx="44">
                  <c:v>-1.4930400000594091E-2</c:v>
                </c:pt>
                <c:pt idx="45">
                  <c:v>-1.3447599994833581E-2</c:v>
                </c:pt>
                <c:pt idx="46">
                  <c:v>-1.5396399998280685E-2</c:v>
                </c:pt>
                <c:pt idx="47">
                  <c:v>-1.9224399999075104E-2</c:v>
                </c:pt>
                <c:pt idx="48">
                  <c:v>-2.0628399994166102E-2</c:v>
                </c:pt>
                <c:pt idx="49">
                  <c:v>-2.5913599791238084E-2</c:v>
                </c:pt>
                <c:pt idx="50">
                  <c:v>-2.5913599791238084E-2</c:v>
                </c:pt>
                <c:pt idx="51">
                  <c:v>-2.4813599797198549E-2</c:v>
                </c:pt>
                <c:pt idx="52">
                  <c:v>5.4064000069047324E-3</c:v>
                </c:pt>
                <c:pt idx="53">
                  <c:v>-3.2263999994029291E-2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FA-4BD4-8991-F2BF80C8D4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FA-4BD4-8991-F2BF80C8D4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FA-4BD4-8991-F2BF80C8D4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FA-4BD4-8991-F2BF80C8D4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0">
                  <c:v>2.0280614021145373E-2</c:v>
                </c:pt>
                <c:pt idx="31">
                  <c:v>1.6588358705413017E-2</c:v>
                </c:pt>
                <c:pt idx="32">
                  <c:v>1.6518818470766937E-2</c:v>
                </c:pt>
                <c:pt idx="33">
                  <c:v>1.5479026390820785E-2</c:v>
                </c:pt>
                <c:pt idx="34">
                  <c:v>1.7166828103870116E-3</c:v>
                </c:pt>
                <c:pt idx="35">
                  <c:v>-2.8100553210982995E-3</c:v>
                </c:pt>
                <c:pt idx="36">
                  <c:v>-2.9723158686058224E-3</c:v>
                </c:pt>
                <c:pt idx="37">
                  <c:v>-4.0419109062574399E-3</c:v>
                </c:pt>
                <c:pt idx="38">
                  <c:v>-4.0452223460024916E-3</c:v>
                </c:pt>
                <c:pt idx="39">
                  <c:v>-4.0882710626881577E-3</c:v>
                </c:pt>
                <c:pt idx="40">
                  <c:v>-6.3367386495780803E-3</c:v>
                </c:pt>
                <c:pt idx="41">
                  <c:v>-9.7541444664711666E-3</c:v>
                </c:pt>
                <c:pt idx="42">
                  <c:v>-9.8402418998425056E-3</c:v>
                </c:pt>
                <c:pt idx="43">
                  <c:v>-1.2333756027866238E-2</c:v>
                </c:pt>
                <c:pt idx="44">
                  <c:v>-1.3274204915460844E-2</c:v>
                </c:pt>
                <c:pt idx="45">
                  <c:v>-1.3419908264243108E-2</c:v>
                </c:pt>
                <c:pt idx="46">
                  <c:v>-1.5575655538271588E-2</c:v>
                </c:pt>
                <c:pt idx="47">
                  <c:v>-1.7843991763631828E-2</c:v>
                </c:pt>
                <c:pt idx="48">
                  <c:v>-1.8108906943235942E-2</c:v>
                </c:pt>
                <c:pt idx="49">
                  <c:v>-2.0357374530125871E-2</c:v>
                </c:pt>
                <c:pt idx="50">
                  <c:v>-2.0357374530125871E-2</c:v>
                </c:pt>
                <c:pt idx="51">
                  <c:v>-2.0357374530125871E-2</c:v>
                </c:pt>
                <c:pt idx="52">
                  <c:v>-2.151637844089388E-2</c:v>
                </c:pt>
                <c:pt idx="53">
                  <c:v>-2.2701873869622288E-2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FA-4BD4-8991-F2BF80C8D4D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-2.7443999999377411E-2</c:v>
                </c:pt>
                <c:pt idx="1">
                  <c:v>7.1182399999088375E-2</c:v>
                </c:pt>
                <c:pt idx="52">
                  <c:v>5.4064000069047324E-3</c:v>
                </c:pt>
                <c:pt idx="53">
                  <c:v>-3.2263999994029291E-2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FA-4BD4-8991-F2BF80C8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93720"/>
        <c:axId val="1"/>
      </c:scatterChart>
      <c:valAx>
        <c:axId val="66899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9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2000129214617399"/>
          <c:w val="0.9690093490379818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1">
                  <c:v>0</c:v>
                </c:pt>
                <c:pt idx="23">
                  <c:v>-8.6759999976493418E-4</c:v>
                </c:pt>
                <c:pt idx="25">
                  <c:v>3.1160000071395189E-4</c:v>
                </c:pt>
                <c:pt idx="26">
                  <c:v>5.2136000012978911E-3</c:v>
                </c:pt>
                <c:pt idx="27">
                  <c:v>3.1407999995280989E-3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5-4966-B01D-2906E6F72D2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-1.5420000017911661E-3</c:v>
                </c:pt>
                <c:pt idx="3">
                  <c:v>2.5084399996558204E-2</c:v>
                </c:pt>
                <c:pt idx="4">
                  <c:v>3.6384000013640616E-3</c:v>
                </c:pt>
                <c:pt idx="5">
                  <c:v>1.8144400000892347E-2</c:v>
                </c:pt>
                <c:pt idx="6">
                  <c:v>2.0987599997170037E-2</c:v>
                </c:pt>
                <c:pt idx="7">
                  <c:v>1.1853600000904407E-2</c:v>
                </c:pt>
                <c:pt idx="8">
                  <c:v>2.6319999960833229E-4</c:v>
                </c:pt>
                <c:pt idx="9">
                  <c:v>3.9799999976821709E-3</c:v>
                </c:pt>
                <c:pt idx="10">
                  <c:v>-1.6828000007080846E-3</c:v>
                </c:pt>
                <c:pt idx="11">
                  <c:v>-8.312800000567222E-3</c:v>
                </c:pt>
                <c:pt idx="12">
                  <c:v>4.8851999999897089E-3</c:v>
                </c:pt>
                <c:pt idx="13">
                  <c:v>2.6308000014978461E-3</c:v>
                </c:pt>
                <c:pt idx="14">
                  <c:v>6.3895999992382713E-3</c:v>
                </c:pt>
                <c:pt idx="15">
                  <c:v>3.2519999986106995E-3</c:v>
                </c:pt>
                <c:pt idx="16">
                  <c:v>6.0700000030919909E-3</c:v>
                </c:pt>
                <c:pt idx="17">
                  <c:v>2.0698800002719508E-2</c:v>
                </c:pt>
                <c:pt idx="18">
                  <c:v>1.2116400001104921E-2</c:v>
                </c:pt>
                <c:pt idx="19">
                  <c:v>-1.1635999981081113E-3</c:v>
                </c:pt>
                <c:pt idx="20">
                  <c:v>-6.9999999977881089E-3</c:v>
                </c:pt>
                <c:pt idx="22">
                  <c:v>-1.3975999972899444E-3</c:v>
                </c:pt>
                <c:pt idx="24">
                  <c:v>-2.349559999856865E-2</c:v>
                </c:pt>
                <c:pt idx="28">
                  <c:v>1.0260000002745073E-2</c:v>
                </c:pt>
                <c:pt idx="29">
                  <c:v>-4.2423999984748662E-3</c:v>
                </c:pt>
                <c:pt idx="30">
                  <c:v>-8.2400000028428622E-3</c:v>
                </c:pt>
                <c:pt idx="31">
                  <c:v>-1.1401999996451195E-2</c:v>
                </c:pt>
                <c:pt idx="32">
                  <c:v>-1.4076800005568657E-2</c:v>
                </c:pt>
                <c:pt idx="33">
                  <c:v>4.5000000027357601E-3</c:v>
                </c:pt>
                <c:pt idx="36">
                  <c:v>2.7864000003319234E-3</c:v>
                </c:pt>
                <c:pt idx="39">
                  <c:v>-1.4709199997014366E-2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E5-4966-B01D-2906E6F72D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E5-4966-B01D-2906E6F72D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-1.3712799998756964E-2</c:v>
                </c:pt>
                <c:pt idx="35">
                  <c:v>-1.3672399996721651E-2</c:v>
                </c:pt>
                <c:pt idx="37">
                  <c:v>-2.2259999896050431E-3</c:v>
                </c:pt>
                <c:pt idx="38">
                  <c:v>-9.6247999972547404E-3</c:v>
                </c:pt>
                <c:pt idx="40">
                  <c:v>-9.7943999935523607E-3</c:v>
                </c:pt>
                <c:pt idx="41">
                  <c:v>-6.5159999940078706E-3</c:v>
                </c:pt>
                <c:pt idx="42">
                  <c:v>-7.124799994926434E-3</c:v>
                </c:pt>
                <c:pt idx="43">
                  <c:v>-8.7211999998544343E-3</c:v>
                </c:pt>
                <c:pt idx="44">
                  <c:v>-1.4930400000594091E-2</c:v>
                </c:pt>
                <c:pt idx="45">
                  <c:v>-1.3447599994833581E-2</c:v>
                </c:pt>
                <c:pt idx="46">
                  <c:v>-1.5396399998280685E-2</c:v>
                </c:pt>
                <c:pt idx="47">
                  <c:v>-1.9224399999075104E-2</c:v>
                </c:pt>
                <c:pt idx="48">
                  <c:v>-2.0628399994166102E-2</c:v>
                </c:pt>
                <c:pt idx="49">
                  <c:v>-2.5913599791238084E-2</c:v>
                </c:pt>
                <c:pt idx="50">
                  <c:v>-2.5913599791238084E-2</c:v>
                </c:pt>
                <c:pt idx="51">
                  <c:v>-2.4813599797198549E-2</c:v>
                </c:pt>
                <c:pt idx="52">
                  <c:v>5.4064000069047324E-3</c:v>
                </c:pt>
                <c:pt idx="53">
                  <c:v>-3.2263999994029291E-2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E5-4966-B01D-2906E6F72D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E5-4966-B01D-2906E6F72D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E5-4966-B01D-2906E6F72D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8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2.8E-3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8.0000000000000004E-4</c:v>
                  </c:pt>
                  <c:pt idx="41">
                    <c:v>1.2999999999999999E-4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8.1999999999999998E-4</c:v>
                  </c:pt>
                  <c:pt idx="45">
                    <c:v>6.6E-4</c:v>
                  </c:pt>
                  <c:pt idx="46">
                    <c:v>1.9000000000000001E-4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E5-4966-B01D-2906E6F72D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0">
                  <c:v>2.0280614021145373E-2</c:v>
                </c:pt>
                <c:pt idx="31">
                  <c:v>1.6588358705413017E-2</c:v>
                </c:pt>
                <c:pt idx="32">
                  <c:v>1.6518818470766937E-2</c:v>
                </c:pt>
                <c:pt idx="33">
                  <c:v>1.5479026390820785E-2</c:v>
                </c:pt>
                <c:pt idx="34">
                  <c:v>1.7166828103870116E-3</c:v>
                </c:pt>
                <c:pt idx="35">
                  <c:v>-2.8100553210982995E-3</c:v>
                </c:pt>
                <c:pt idx="36">
                  <c:v>-2.9723158686058224E-3</c:v>
                </c:pt>
                <c:pt idx="37">
                  <c:v>-4.0419109062574399E-3</c:v>
                </c:pt>
                <c:pt idx="38">
                  <c:v>-4.0452223460024916E-3</c:v>
                </c:pt>
                <c:pt idx="39">
                  <c:v>-4.0882710626881577E-3</c:v>
                </c:pt>
                <c:pt idx="40">
                  <c:v>-6.3367386495780803E-3</c:v>
                </c:pt>
                <c:pt idx="41">
                  <c:v>-9.7541444664711666E-3</c:v>
                </c:pt>
                <c:pt idx="42">
                  <c:v>-9.8402418998425056E-3</c:v>
                </c:pt>
                <c:pt idx="43">
                  <c:v>-1.2333756027866238E-2</c:v>
                </c:pt>
                <c:pt idx="44">
                  <c:v>-1.3274204915460844E-2</c:v>
                </c:pt>
                <c:pt idx="45">
                  <c:v>-1.3419908264243108E-2</c:v>
                </c:pt>
                <c:pt idx="46">
                  <c:v>-1.5575655538271588E-2</c:v>
                </c:pt>
                <c:pt idx="47">
                  <c:v>-1.7843991763631828E-2</c:v>
                </c:pt>
                <c:pt idx="48">
                  <c:v>-1.8108906943235942E-2</c:v>
                </c:pt>
                <c:pt idx="49">
                  <c:v>-2.0357374530125871E-2</c:v>
                </c:pt>
                <c:pt idx="50">
                  <c:v>-2.0357374530125871E-2</c:v>
                </c:pt>
                <c:pt idx="51">
                  <c:v>-2.0357374530125871E-2</c:v>
                </c:pt>
                <c:pt idx="52">
                  <c:v>-2.151637844089388E-2</c:v>
                </c:pt>
                <c:pt idx="53">
                  <c:v>-2.2701873869622288E-2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E5-4966-B01D-2906E6F72D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-15370</c:v>
                </c:pt>
                <c:pt idx="1">
                  <c:v>-15348</c:v>
                </c:pt>
                <c:pt idx="2">
                  <c:v>-15035</c:v>
                </c:pt>
                <c:pt idx="3">
                  <c:v>-15013</c:v>
                </c:pt>
                <c:pt idx="4">
                  <c:v>-14968</c:v>
                </c:pt>
                <c:pt idx="5">
                  <c:v>-14963</c:v>
                </c:pt>
                <c:pt idx="6">
                  <c:v>-14927</c:v>
                </c:pt>
                <c:pt idx="7">
                  <c:v>-14622</c:v>
                </c:pt>
                <c:pt idx="8">
                  <c:v>-14614</c:v>
                </c:pt>
                <c:pt idx="9">
                  <c:v>-10850</c:v>
                </c:pt>
                <c:pt idx="10">
                  <c:v>-10819</c:v>
                </c:pt>
                <c:pt idx="11">
                  <c:v>-10094</c:v>
                </c:pt>
                <c:pt idx="12">
                  <c:v>-8679</c:v>
                </c:pt>
                <c:pt idx="13">
                  <c:v>-8391</c:v>
                </c:pt>
                <c:pt idx="14">
                  <c:v>-8342</c:v>
                </c:pt>
                <c:pt idx="15">
                  <c:v>-7290</c:v>
                </c:pt>
                <c:pt idx="16">
                  <c:v>-4525</c:v>
                </c:pt>
                <c:pt idx="17">
                  <c:v>-4501</c:v>
                </c:pt>
                <c:pt idx="18">
                  <c:v>-4153</c:v>
                </c:pt>
                <c:pt idx="19">
                  <c:v>-1053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27</c:v>
                </c:pt>
                <c:pt idx="24">
                  <c:v>337</c:v>
                </c:pt>
                <c:pt idx="25">
                  <c:v>343</c:v>
                </c:pt>
                <c:pt idx="26">
                  <c:v>678</c:v>
                </c:pt>
                <c:pt idx="27">
                  <c:v>784</c:v>
                </c:pt>
                <c:pt idx="28">
                  <c:v>1050</c:v>
                </c:pt>
                <c:pt idx="29">
                  <c:v>2798</c:v>
                </c:pt>
                <c:pt idx="30">
                  <c:v>9800</c:v>
                </c:pt>
                <c:pt idx="31">
                  <c:v>10915</c:v>
                </c:pt>
                <c:pt idx="32">
                  <c:v>10936</c:v>
                </c:pt>
                <c:pt idx="33">
                  <c:v>11250</c:v>
                </c:pt>
                <c:pt idx="34">
                  <c:v>15406</c:v>
                </c:pt>
                <c:pt idx="35">
                  <c:v>16773</c:v>
                </c:pt>
                <c:pt idx="36">
                  <c:v>16822</c:v>
                </c:pt>
                <c:pt idx="37">
                  <c:v>17145</c:v>
                </c:pt>
                <c:pt idx="38">
                  <c:v>17146</c:v>
                </c:pt>
                <c:pt idx="39">
                  <c:v>17159</c:v>
                </c:pt>
                <c:pt idx="40">
                  <c:v>17838</c:v>
                </c:pt>
                <c:pt idx="41">
                  <c:v>18870</c:v>
                </c:pt>
                <c:pt idx="42">
                  <c:v>18896</c:v>
                </c:pt>
                <c:pt idx="43">
                  <c:v>19649</c:v>
                </c:pt>
                <c:pt idx="44">
                  <c:v>19933</c:v>
                </c:pt>
                <c:pt idx="45">
                  <c:v>19977</c:v>
                </c:pt>
                <c:pt idx="46">
                  <c:v>20628</c:v>
                </c:pt>
                <c:pt idx="47">
                  <c:v>21313</c:v>
                </c:pt>
                <c:pt idx="48">
                  <c:v>21393</c:v>
                </c:pt>
                <c:pt idx="49">
                  <c:v>22072</c:v>
                </c:pt>
                <c:pt idx="50">
                  <c:v>22072</c:v>
                </c:pt>
                <c:pt idx="51">
                  <c:v>22072</c:v>
                </c:pt>
                <c:pt idx="52">
                  <c:v>22422</c:v>
                </c:pt>
                <c:pt idx="53">
                  <c:v>22780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-2.7443999999377411E-2</c:v>
                </c:pt>
                <c:pt idx="1">
                  <c:v>7.1182399999088375E-2</c:v>
                </c:pt>
                <c:pt idx="52">
                  <c:v>5.4064000069047324E-3</c:v>
                </c:pt>
                <c:pt idx="53">
                  <c:v>-3.2263999994029291E-2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E5-4966-B01D-2906E6F7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93720"/>
        <c:axId val="1"/>
      </c:scatterChart>
      <c:valAx>
        <c:axId val="66899372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9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727272727272728E-2"/>
          <c:y val="0.92000129214617399"/>
          <c:w val="0.9690093490379818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9524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23EA2D9-3F0E-7E88-AF8B-774434C70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0</xdr:row>
      <xdr:rowOff>38100</xdr:rowOff>
    </xdr:from>
    <xdr:to>
      <xdr:col>26</xdr:col>
      <xdr:colOff>190500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20DB64-B1CF-4BA2-BF1C-22C51E112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simbad.u-strasbg.fr/cgi-bin/cdsbib?1959AJ.....64..258W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simbad.u-strasbg.fr/cgi-bin/cdsbib?1959AJ.....64..258W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s://www.aavso.org/ejaavso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?1959AJ.....64..258W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simbad.u-strasbg.fr/cgi-bin/cdsbib?1959AJ.....64..258W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4" TargetMode="External"/><Relationship Id="rId1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171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s="10" t="s">
        <v>37</v>
      </c>
    </row>
    <row r="4" spans="1:6" ht="14.25" thickTop="1" thickBot="1" x14ac:dyDescent="0.25">
      <c r="A4" s="5" t="s">
        <v>3</v>
      </c>
      <c r="C4" s="2">
        <v>35339.457999999999</v>
      </c>
      <c r="D4" s="3">
        <v>1.0446987999999999</v>
      </c>
    </row>
    <row r="5" spans="1:6" ht="13.5" thickTop="1" x14ac:dyDescent="0.2">
      <c r="A5" s="11" t="s">
        <v>41</v>
      </c>
      <c r="B5" s="12"/>
      <c r="C5" s="13">
        <v>-9.5</v>
      </c>
      <c r="D5" s="12" t="s">
        <v>42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35339.457999999999</v>
      </c>
    </row>
    <row r="8" spans="1:6" x14ac:dyDescent="0.2">
      <c r="A8" t="s">
        <v>6</v>
      </c>
      <c r="C8">
        <f>+D4</f>
        <v>1.0446987999999999</v>
      </c>
    </row>
    <row r="9" spans="1:6" x14ac:dyDescent="0.2">
      <c r="A9" s="27" t="s">
        <v>46</v>
      </c>
      <c r="B9" s="28">
        <v>64</v>
      </c>
      <c r="C9" s="16" t="str">
        <f>"F"&amp;B9</f>
        <v>F64</v>
      </c>
      <c r="D9" s="17" t="str">
        <f>"G"&amp;B9</f>
        <v>G64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14">
        <f ca="1">INTERCEPT(INDIRECT($D$9):G992,INDIRECT($C$9):F992)</f>
        <v>5.2732723522649461E-2</v>
      </c>
      <c r="D11" s="15"/>
      <c r="E11" s="12"/>
    </row>
    <row r="12" spans="1:6" x14ac:dyDescent="0.2">
      <c r="A12" s="12" t="s">
        <v>20</v>
      </c>
      <c r="B12" s="12"/>
      <c r="C12" s="14">
        <f ca="1">SLOPE(INDIRECT($D$9):G992,INDIRECT($C$9):F992)</f>
        <v>-3.3114397450514376E-6</v>
      </c>
      <c r="D12" s="15"/>
      <c r="E12" s="12"/>
    </row>
    <row r="13" spans="1:6" x14ac:dyDescent="0.2">
      <c r="A13" s="12" t="s">
        <v>22</v>
      </c>
      <c r="B13" s="12"/>
      <c r="C13" s="15" t="s">
        <v>17</v>
      </c>
    </row>
    <row r="14" spans="1:6" x14ac:dyDescent="0.2">
      <c r="A14" s="12"/>
      <c r="B14" s="12"/>
      <c r="C14" s="12"/>
    </row>
    <row r="15" spans="1:6" x14ac:dyDescent="0.2">
      <c r="A15" s="18" t="s">
        <v>21</v>
      </c>
      <c r="B15" s="12"/>
      <c r="C15" s="19">
        <f ca="1">(C7+C11)+(C8+C12)*INT(MAX(F21:F3533))</f>
        <v>59137.673962126129</v>
      </c>
      <c r="E15" s="20" t="s">
        <v>53</v>
      </c>
      <c r="F15" s="56">
        <v>1</v>
      </c>
    </row>
    <row r="16" spans="1:6" x14ac:dyDescent="0.2">
      <c r="A16" s="22" t="s">
        <v>7</v>
      </c>
      <c r="B16" s="12"/>
      <c r="C16" s="23">
        <f ca="1">+C8+C12</f>
        <v>1.0446954885602548</v>
      </c>
      <c r="E16" s="20" t="s">
        <v>43</v>
      </c>
      <c r="F16" s="21">
        <f ca="1">NOW()+15018.5+$C$5/24</f>
        <v>60320.81899861111</v>
      </c>
    </row>
    <row r="17" spans="1:31" ht="13.5" thickBot="1" x14ac:dyDescent="0.25">
      <c r="A17" s="20" t="s">
        <v>36</v>
      </c>
      <c r="B17" s="12"/>
      <c r="C17" s="12">
        <f>COUNT(C21:C2191)</f>
        <v>54</v>
      </c>
      <c r="E17" s="20" t="s">
        <v>54</v>
      </c>
      <c r="F17" s="21">
        <f ca="1">ROUND(2*(F16-$C$7)/$C$8,0)/2+F15</f>
        <v>23913.5</v>
      </c>
    </row>
    <row r="18" spans="1:31" ht="14.25" thickTop="1" thickBot="1" x14ac:dyDescent="0.25">
      <c r="A18" s="22" t="s">
        <v>8</v>
      </c>
      <c r="B18" s="12"/>
      <c r="C18" s="25">
        <f ca="1">+C15</f>
        <v>59137.673962126129</v>
      </c>
      <c r="D18" s="26">
        <f ca="1">+C16</f>
        <v>1.0446954885602548</v>
      </c>
      <c r="E18" s="20" t="s">
        <v>44</v>
      </c>
      <c r="F18" s="17">
        <f ca="1">ROUND(2*(F16-$C$15)/$C$16,0)/2+F15</f>
        <v>1133.5</v>
      </c>
    </row>
    <row r="19" spans="1:31" ht="13.5" thickTop="1" x14ac:dyDescent="0.2">
      <c r="E19" s="20" t="s">
        <v>45</v>
      </c>
      <c r="F19" s="24">
        <f ca="1">+$C$15+$C$16*F18-15018.5-$C$5/24</f>
        <v>45303.732131742516</v>
      </c>
    </row>
    <row r="20" spans="1:3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63</v>
      </c>
      <c r="I20" s="7" t="s">
        <v>50</v>
      </c>
      <c r="J20" s="7" t="s">
        <v>60</v>
      </c>
      <c r="K20" s="7" t="s">
        <v>58</v>
      </c>
      <c r="L20" s="7" t="s">
        <v>252</v>
      </c>
      <c r="M20" s="7" t="s">
        <v>253</v>
      </c>
      <c r="N20" s="7" t="s">
        <v>254</v>
      </c>
      <c r="O20" s="7" t="s">
        <v>26</v>
      </c>
      <c r="P20" s="6" t="s">
        <v>25</v>
      </c>
      <c r="Q20" s="4" t="s">
        <v>18</v>
      </c>
      <c r="U20" s="55" t="s">
        <v>255</v>
      </c>
    </row>
    <row r="21" spans="1:31" x14ac:dyDescent="0.2">
      <c r="A21" s="17" t="s">
        <v>73</v>
      </c>
      <c r="B21" s="15" t="s">
        <v>48</v>
      </c>
      <c r="C21" s="29">
        <v>19282.41</v>
      </c>
      <c r="D21" s="29" t="s">
        <v>50</v>
      </c>
      <c r="E21" s="35">
        <f t="shared" ref="E21:E49" si="0">+(C21-C$7)/C$8</f>
        <v>-15370.026269772685</v>
      </c>
      <c r="F21" s="31">
        <f t="shared" ref="F21:F49" si="1">ROUND(2*E21,0)/2</f>
        <v>-15370</v>
      </c>
      <c r="H21" s="31"/>
      <c r="I21" s="31"/>
      <c r="K21" s="31"/>
      <c r="L21" s="31"/>
      <c r="M21" s="31"/>
      <c r="N21" s="31"/>
      <c r="O21" s="31"/>
      <c r="P21" s="31"/>
      <c r="Q21" s="33">
        <f t="shared" ref="Q21:Q49" si="2">+C21-15018.5</f>
        <v>4263.91</v>
      </c>
      <c r="U21" s="31">
        <f>+C21-(C$7+F21*C$8)</f>
        <v>-2.7443999999377411E-2</v>
      </c>
    </row>
    <row r="22" spans="1:31" x14ac:dyDescent="0.2">
      <c r="A22" s="17" t="s">
        <v>77</v>
      </c>
      <c r="B22" s="15" t="s">
        <v>48</v>
      </c>
      <c r="C22" s="29">
        <v>19305.491999999998</v>
      </c>
      <c r="D22" s="29" t="s">
        <v>50</v>
      </c>
      <c r="E22" s="35">
        <f t="shared" si="0"/>
        <v>-15347.931863231777</v>
      </c>
      <c r="F22" s="31">
        <f t="shared" si="1"/>
        <v>-15348</v>
      </c>
      <c r="H22" s="31"/>
      <c r="I22" s="31"/>
      <c r="K22" s="31"/>
      <c r="L22" s="31"/>
      <c r="M22" s="31"/>
      <c r="N22" s="31"/>
      <c r="O22" s="31"/>
      <c r="P22" s="31"/>
      <c r="Q22" s="33">
        <f t="shared" si="2"/>
        <v>4286.9919999999984</v>
      </c>
      <c r="U22" s="31">
        <f>+C22-(C$7+F22*C$8)</f>
        <v>7.1182399999088375E-2</v>
      </c>
    </row>
    <row r="23" spans="1:31" x14ac:dyDescent="0.2">
      <c r="A23" s="17" t="s">
        <v>73</v>
      </c>
      <c r="B23" s="15" t="s">
        <v>48</v>
      </c>
      <c r="C23" s="29">
        <v>19632.41</v>
      </c>
      <c r="D23" s="29" t="s">
        <v>50</v>
      </c>
      <c r="E23" s="35">
        <f t="shared" si="0"/>
        <v>-15035.001476023519</v>
      </c>
      <c r="F23" s="31">
        <f t="shared" si="1"/>
        <v>-15035</v>
      </c>
      <c r="G23" s="31">
        <f t="shared" ref="G23:G49" si="3">+C23-(C$7+F23*C$8)</f>
        <v>-1.5420000017911661E-3</v>
      </c>
      <c r="H23" s="31"/>
      <c r="I23" s="31">
        <f t="shared" ref="I23:I41" si="4">+G23</f>
        <v>-1.5420000017911661E-3</v>
      </c>
      <c r="K23" s="31"/>
      <c r="L23" s="31"/>
      <c r="M23" s="31"/>
      <c r="N23" s="31"/>
      <c r="O23" s="31"/>
      <c r="P23" s="31"/>
      <c r="Q23" s="33">
        <f t="shared" si="2"/>
        <v>4613.91</v>
      </c>
    </row>
    <row r="24" spans="1:31" x14ac:dyDescent="0.2">
      <c r="A24" s="17" t="s">
        <v>73</v>
      </c>
      <c r="B24" s="15" t="s">
        <v>48</v>
      </c>
      <c r="C24" s="29">
        <v>19655.419999999998</v>
      </c>
      <c r="D24" s="29" t="s">
        <v>50</v>
      </c>
      <c r="E24" s="35">
        <f t="shared" si="0"/>
        <v>-15012.975988868755</v>
      </c>
      <c r="F24" s="31">
        <f t="shared" si="1"/>
        <v>-15013</v>
      </c>
      <c r="G24" s="31">
        <f t="shared" si="3"/>
        <v>2.5084399996558204E-2</v>
      </c>
      <c r="H24" s="31"/>
      <c r="I24" s="31">
        <f t="shared" si="4"/>
        <v>2.5084399996558204E-2</v>
      </c>
      <c r="K24" s="31"/>
      <c r="L24" s="31"/>
      <c r="M24" s="31"/>
      <c r="N24" s="31"/>
      <c r="O24" s="31"/>
      <c r="P24" s="31"/>
      <c r="Q24" s="33">
        <f t="shared" si="2"/>
        <v>4636.9199999999983</v>
      </c>
    </row>
    <row r="25" spans="1:31" x14ac:dyDescent="0.2">
      <c r="A25" s="17" t="s">
        <v>73</v>
      </c>
      <c r="B25" s="15" t="s">
        <v>48</v>
      </c>
      <c r="C25" s="29">
        <v>19702.41</v>
      </c>
      <c r="D25" s="29" t="s">
        <v>50</v>
      </c>
      <c r="E25" s="35">
        <f t="shared" si="0"/>
        <v>-14967.996517273687</v>
      </c>
      <c r="F25" s="31">
        <f t="shared" si="1"/>
        <v>-14968</v>
      </c>
      <c r="G25" s="31">
        <f t="shared" si="3"/>
        <v>3.6384000013640616E-3</v>
      </c>
      <c r="H25" s="31"/>
      <c r="I25" s="31">
        <f t="shared" si="4"/>
        <v>3.6384000013640616E-3</v>
      </c>
      <c r="K25" s="31"/>
      <c r="L25" s="31"/>
      <c r="M25" s="31"/>
      <c r="N25" s="31"/>
      <c r="O25" s="31"/>
      <c r="P25" s="31"/>
      <c r="Q25" s="33">
        <f t="shared" si="2"/>
        <v>4683.91</v>
      </c>
      <c r="AE25" t="s">
        <v>29</v>
      </c>
    </row>
    <row r="26" spans="1:31" x14ac:dyDescent="0.2">
      <c r="A26" s="17" t="s">
        <v>77</v>
      </c>
      <c r="B26" s="15" t="s">
        <v>48</v>
      </c>
      <c r="C26" s="29">
        <v>19707.648000000001</v>
      </c>
      <c r="D26" s="29" t="s">
        <v>50</v>
      </c>
      <c r="E26" s="35">
        <f t="shared" si="0"/>
        <v>-14962.982631931805</v>
      </c>
      <c r="F26" s="31">
        <f t="shared" si="1"/>
        <v>-14963</v>
      </c>
      <c r="G26" s="31">
        <f t="shared" si="3"/>
        <v>1.8144400000892347E-2</v>
      </c>
      <c r="H26" s="31"/>
      <c r="I26" s="31">
        <f t="shared" si="4"/>
        <v>1.8144400000892347E-2</v>
      </c>
      <c r="K26" s="31"/>
      <c r="L26" s="31"/>
      <c r="M26" s="31"/>
      <c r="N26" s="31"/>
      <c r="O26" s="31"/>
      <c r="P26" s="31"/>
      <c r="Q26" s="33">
        <f t="shared" si="2"/>
        <v>4689.148000000001</v>
      </c>
    </row>
    <row r="27" spans="1:31" x14ac:dyDescent="0.2">
      <c r="A27" s="17" t="s">
        <v>73</v>
      </c>
      <c r="B27" s="15" t="s">
        <v>48</v>
      </c>
      <c r="C27" s="29">
        <v>19745.259999999998</v>
      </c>
      <c r="D27" s="29" t="s">
        <v>50</v>
      </c>
      <c r="E27" s="35">
        <f t="shared" si="0"/>
        <v>-14926.979910381826</v>
      </c>
      <c r="F27" s="31">
        <f t="shared" si="1"/>
        <v>-14927</v>
      </c>
      <c r="G27" s="31">
        <f t="shared" si="3"/>
        <v>2.0987599997170037E-2</v>
      </c>
      <c r="H27" s="31"/>
      <c r="I27" s="31">
        <f t="shared" si="4"/>
        <v>2.0987599997170037E-2</v>
      </c>
      <c r="K27" s="31"/>
      <c r="L27" s="31"/>
      <c r="M27" s="31"/>
      <c r="N27" s="31"/>
      <c r="O27" s="31"/>
      <c r="P27" s="31"/>
      <c r="Q27" s="33">
        <f t="shared" si="2"/>
        <v>4726.7599999999984</v>
      </c>
      <c r="AB27">
        <v>15</v>
      </c>
      <c r="AC27" t="s">
        <v>30</v>
      </c>
      <c r="AE27" t="s">
        <v>32</v>
      </c>
    </row>
    <row r="28" spans="1:31" x14ac:dyDescent="0.2">
      <c r="A28" s="17" t="s">
        <v>77</v>
      </c>
      <c r="B28" s="15" t="s">
        <v>48</v>
      </c>
      <c r="C28" s="29">
        <v>20063.883999999998</v>
      </c>
      <c r="D28" s="29" t="s">
        <v>50</v>
      </c>
      <c r="E28" s="35">
        <f t="shared" si="0"/>
        <v>-14621.988653571729</v>
      </c>
      <c r="F28" s="31">
        <f t="shared" si="1"/>
        <v>-14622</v>
      </c>
      <c r="G28" s="31">
        <f t="shared" si="3"/>
        <v>1.1853600000904407E-2</v>
      </c>
      <c r="H28" s="31"/>
      <c r="I28" s="31">
        <f t="shared" si="4"/>
        <v>1.1853600000904407E-2</v>
      </c>
      <c r="K28" s="31"/>
      <c r="L28" s="31"/>
      <c r="M28" s="31"/>
      <c r="N28" s="31"/>
      <c r="O28" s="31"/>
      <c r="P28" s="31"/>
      <c r="Q28" s="33">
        <f t="shared" si="2"/>
        <v>5045.3839999999982</v>
      </c>
    </row>
    <row r="29" spans="1:31" x14ac:dyDescent="0.2">
      <c r="A29" s="17" t="s">
        <v>73</v>
      </c>
      <c r="B29" s="15" t="s">
        <v>48</v>
      </c>
      <c r="C29" s="29">
        <v>20072.23</v>
      </c>
      <c r="D29" s="29" t="s">
        <v>50</v>
      </c>
      <c r="E29" s="35">
        <f t="shared" si="0"/>
        <v>-14613.999748061355</v>
      </c>
      <c r="F29" s="31">
        <f t="shared" si="1"/>
        <v>-14614</v>
      </c>
      <c r="G29" s="31">
        <f t="shared" si="3"/>
        <v>2.6319999960833229E-4</v>
      </c>
      <c r="H29" s="31"/>
      <c r="I29" s="31">
        <f t="shared" si="4"/>
        <v>2.6319999960833229E-4</v>
      </c>
      <c r="K29" s="31"/>
      <c r="L29" s="31"/>
      <c r="M29" s="31"/>
      <c r="N29" s="31"/>
      <c r="O29" s="31"/>
      <c r="P29" s="31"/>
      <c r="Q29" s="33">
        <f t="shared" si="2"/>
        <v>5053.7299999999996</v>
      </c>
      <c r="AB29">
        <v>10</v>
      </c>
      <c r="AC29" t="s">
        <v>30</v>
      </c>
      <c r="AE29" t="s">
        <v>32</v>
      </c>
    </row>
    <row r="30" spans="1:31" x14ac:dyDescent="0.2">
      <c r="A30" s="17" t="s">
        <v>100</v>
      </c>
      <c r="B30" s="15" t="s">
        <v>48</v>
      </c>
      <c r="C30" s="29">
        <v>24004.48</v>
      </c>
      <c r="D30" s="29" t="s">
        <v>50</v>
      </c>
      <c r="E30" s="35">
        <f t="shared" si="0"/>
        <v>-10849.996190289488</v>
      </c>
      <c r="F30" s="31">
        <f t="shared" si="1"/>
        <v>-10850</v>
      </c>
      <c r="G30" s="31">
        <f t="shared" si="3"/>
        <v>3.9799999976821709E-3</v>
      </c>
      <c r="H30" s="31"/>
      <c r="I30" s="31">
        <f t="shared" si="4"/>
        <v>3.9799999976821709E-3</v>
      </c>
      <c r="K30" s="31"/>
      <c r="L30" s="31"/>
      <c r="M30" s="31"/>
      <c r="N30" s="31"/>
      <c r="O30" s="31"/>
      <c r="P30" s="31"/>
      <c r="Q30" s="33">
        <f t="shared" si="2"/>
        <v>8985.98</v>
      </c>
      <c r="AB30">
        <v>8</v>
      </c>
      <c r="AC30" t="s">
        <v>33</v>
      </c>
      <c r="AE30" t="s">
        <v>32</v>
      </c>
    </row>
    <row r="31" spans="1:31" x14ac:dyDescent="0.2">
      <c r="A31" s="17" t="s">
        <v>105</v>
      </c>
      <c r="B31" s="15" t="s">
        <v>48</v>
      </c>
      <c r="C31" s="29">
        <v>24036.86</v>
      </c>
      <c r="D31" s="29" t="s">
        <v>50</v>
      </c>
      <c r="E31" s="35">
        <f t="shared" si="0"/>
        <v>-10819.001610799207</v>
      </c>
      <c r="F31" s="31">
        <f t="shared" si="1"/>
        <v>-10819</v>
      </c>
      <c r="G31" s="31">
        <f t="shared" si="3"/>
        <v>-1.6828000007080846E-3</v>
      </c>
      <c r="H31" s="31"/>
      <c r="I31" s="31">
        <f t="shared" si="4"/>
        <v>-1.6828000007080846E-3</v>
      </c>
      <c r="K31" s="31"/>
      <c r="L31" s="31"/>
      <c r="M31" s="31"/>
      <c r="N31" s="31"/>
      <c r="O31" s="31"/>
      <c r="P31" s="31"/>
      <c r="Q31" s="33">
        <f t="shared" si="2"/>
        <v>9018.36</v>
      </c>
    </row>
    <row r="32" spans="1:31" x14ac:dyDescent="0.2">
      <c r="A32" s="17" t="s">
        <v>110</v>
      </c>
      <c r="B32" s="15" t="s">
        <v>48</v>
      </c>
      <c r="C32" s="29">
        <v>24794.26</v>
      </c>
      <c r="D32" s="29" t="s">
        <v>50</v>
      </c>
      <c r="E32" s="35">
        <f t="shared" si="0"/>
        <v>-10094.007957126016</v>
      </c>
      <c r="F32" s="31">
        <f t="shared" si="1"/>
        <v>-10094</v>
      </c>
      <c r="G32" s="31">
        <f t="shared" si="3"/>
        <v>-8.312800000567222E-3</v>
      </c>
      <c r="H32" s="31"/>
      <c r="I32" s="31">
        <f t="shared" si="4"/>
        <v>-8.312800000567222E-3</v>
      </c>
      <c r="K32" s="31"/>
      <c r="L32" s="31"/>
      <c r="M32" s="31"/>
      <c r="N32" s="31"/>
      <c r="O32" s="31"/>
      <c r="P32" s="31"/>
      <c r="Q32" s="33">
        <f t="shared" si="2"/>
        <v>9775.7599999999984</v>
      </c>
    </row>
    <row r="33" spans="1:21" x14ac:dyDescent="0.2">
      <c r="A33" s="17" t="s">
        <v>115</v>
      </c>
      <c r="B33" s="15" t="s">
        <v>48</v>
      </c>
      <c r="C33" s="29">
        <v>26272.522000000001</v>
      </c>
      <c r="D33" s="29" t="s">
        <v>50</v>
      </c>
      <c r="E33" s="35">
        <f t="shared" si="0"/>
        <v>-8678.9953238196485</v>
      </c>
      <c r="F33" s="31">
        <f t="shared" si="1"/>
        <v>-8679</v>
      </c>
      <c r="G33" s="31">
        <f t="shared" si="3"/>
        <v>4.8851999999897089E-3</v>
      </c>
      <c r="H33" s="31"/>
      <c r="I33" s="31">
        <f t="shared" si="4"/>
        <v>4.8851999999897089E-3</v>
      </c>
      <c r="K33" s="31"/>
      <c r="L33" s="31"/>
      <c r="M33" s="31"/>
      <c r="N33" s="31"/>
      <c r="O33" s="31"/>
      <c r="P33" s="31"/>
      <c r="Q33" s="33">
        <f t="shared" si="2"/>
        <v>11254.022000000001</v>
      </c>
    </row>
    <row r="34" spans="1:21" x14ac:dyDescent="0.2">
      <c r="A34" s="17" t="s">
        <v>105</v>
      </c>
      <c r="B34" s="15" t="s">
        <v>48</v>
      </c>
      <c r="C34" s="29">
        <v>26573.393</v>
      </c>
      <c r="D34" s="29" t="s">
        <v>50</v>
      </c>
      <c r="E34" s="35">
        <f t="shared" si="0"/>
        <v>-8390.997481762206</v>
      </c>
      <c r="F34" s="31">
        <f t="shared" si="1"/>
        <v>-8391</v>
      </c>
      <c r="G34" s="31">
        <f t="shared" si="3"/>
        <v>2.6308000014978461E-3</v>
      </c>
      <c r="H34" s="31"/>
      <c r="I34" s="31">
        <f t="shared" si="4"/>
        <v>2.6308000014978461E-3</v>
      </c>
      <c r="K34" s="31"/>
      <c r="L34" s="31"/>
      <c r="M34" s="31"/>
      <c r="N34" s="31"/>
      <c r="O34" s="31"/>
      <c r="P34" s="31"/>
      <c r="Q34" s="33">
        <f t="shared" si="2"/>
        <v>11554.893</v>
      </c>
    </row>
    <row r="35" spans="1:21" x14ac:dyDescent="0.2">
      <c r="A35" s="17" t="s">
        <v>115</v>
      </c>
      <c r="B35" s="15" t="s">
        <v>48</v>
      </c>
      <c r="C35" s="29">
        <v>26624.587</v>
      </c>
      <c r="D35" s="29" t="s">
        <v>50</v>
      </c>
      <c r="E35" s="35">
        <f t="shared" si="0"/>
        <v>-8341.9938837873651</v>
      </c>
      <c r="F35" s="31">
        <f t="shared" si="1"/>
        <v>-8342</v>
      </c>
      <c r="G35" s="31">
        <f t="shared" si="3"/>
        <v>6.3895999992382713E-3</v>
      </c>
      <c r="H35" s="31"/>
      <c r="I35" s="31">
        <f t="shared" si="4"/>
        <v>6.3895999992382713E-3</v>
      </c>
      <c r="K35" s="31"/>
      <c r="L35" s="31"/>
      <c r="M35" s="31"/>
      <c r="N35" s="31"/>
      <c r="O35" s="31"/>
      <c r="P35" s="31"/>
      <c r="Q35" s="33">
        <f t="shared" si="2"/>
        <v>11606.087</v>
      </c>
    </row>
    <row r="36" spans="1:21" x14ac:dyDescent="0.2">
      <c r="A36" s="17" t="s">
        <v>125</v>
      </c>
      <c r="B36" s="15" t="s">
        <v>48</v>
      </c>
      <c r="C36" s="29">
        <v>27723.607</v>
      </c>
      <c r="D36" s="29" t="s">
        <v>50</v>
      </c>
      <c r="E36" s="35">
        <f t="shared" si="0"/>
        <v>-7289.9968871410583</v>
      </c>
      <c r="F36" s="31">
        <f t="shared" si="1"/>
        <v>-7290</v>
      </c>
      <c r="G36" s="31">
        <f t="shared" si="3"/>
        <v>3.2519999986106995E-3</v>
      </c>
      <c r="H36" s="31"/>
      <c r="I36" s="31">
        <f t="shared" si="4"/>
        <v>3.2519999986106995E-3</v>
      </c>
      <c r="K36" s="31"/>
      <c r="L36" s="31"/>
      <c r="M36" s="31"/>
      <c r="N36" s="31"/>
      <c r="O36" s="31"/>
      <c r="P36" s="31"/>
      <c r="Q36" s="33">
        <f t="shared" si="2"/>
        <v>12705.107</v>
      </c>
    </row>
    <row r="37" spans="1:21" x14ac:dyDescent="0.2">
      <c r="A37" s="17" t="s">
        <v>105</v>
      </c>
      <c r="B37" s="15" t="s">
        <v>48</v>
      </c>
      <c r="C37" s="29">
        <v>30612.202000000001</v>
      </c>
      <c r="D37" s="29" t="s">
        <v>50</v>
      </c>
      <c r="E37" s="35">
        <f t="shared" si="0"/>
        <v>-4524.994189712861</v>
      </c>
      <c r="F37" s="31">
        <f t="shared" si="1"/>
        <v>-4525</v>
      </c>
      <c r="G37" s="31">
        <f t="shared" si="3"/>
        <v>6.0700000030919909E-3</v>
      </c>
      <c r="H37" s="31"/>
      <c r="I37" s="31">
        <f t="shared" si="4"/>
        <v>6.0700000030919909E-3</v>
      </c>
      <c r="K37" s="31"/>
      <c r="L37" s="31"/>
      <c r="M37" s="31"/>
      <c r="N37" s="31"/>
      <c r="O37" s="31"/>
      <c r="P37" s="31"/>
      <c r="Q37" s="33">
        <f t="shared" si="2"/>
        <v>15593.702000000001</v>
      </c>
    </row>
    <row r="38" spans="1:21" x14ac:dyDescent="0.2">
      <c r="A38" s="17" t="s">
        <v>133</v>
      </c>
      <c r="B38" s="15" t="s">
        <v>48</v>
      </c>
      <c r="C38" s="29">
        <v>30637.289400000001</v>
      </c>
      <c r="D38" s="29" t="s">
        <v>50</v>
      </c>
      <c r="E38" s="35">
        <f t="shared" si="0"/>
        <v>-4500.9801868251379</v>
      </c>
      <c r="F38" s="31">
        <f t="shared" si="1"/>
        <v>-4501</v>
      </c>
      <c r="G38" s="31">
        <f t="shared" si="3"/>
        <v>2.0698800002719508E-2</v>
      </c>
      <c r="H38" s="31"/>
      <c r="I38" s="31">
        <f t="shared" si="4"/>
        <v>2.0698800002719508E-2</v>
      </c>
      <c r="K38" s="31"/>
      <c r="L38" s="31"/>
      <c r="M38" s="31"/>
      <c r="N38" s="31"/>
      <c r="O38" s="31"/>
      <c r="P38" s="31"/>
      <c r="Q38" s="33">
        <f t="shared" si="2"/>
        <v>15618.789400000001</v>
      </c>
    </row>
    <row r="39" spans="1:21" x14ac:dyDescent="0.2">
      <c r="A39" s="17" t="s">
        <v>133</v>
      </c>
      <c r="B39" s="15" t="s">
        <v>48</v>
      </c>
      <c r="C39" s="29">
        <v>31000.835999999999</v>
      </c>
      <c r="D39" s="29" t="s">
        <v>50</v>
      </c>
      <c r="E39" s="35">
        <f t="shared" si="0"/>
        <v>-4152.9884020159679</v>
      </c>
      <c r="F39" s="31">
        <f t="shared" si="1"/>
        <v>-4153</v>
      </c>
      <c r="G39" s="31">
        <f t="shared" si="3"/>
        <v>1.2116400001104921E-2</v>
      </c>
      <c r="H39" s="31"/>
      <c r="I39" s="31">
        <f t="shared" si="4"/>
        <v>1.2116400001104921E-2</v>
      </c>
      <c r="K39" s="31"/>
      <c r="L39" s="31"/>
      <c r="M39" s="31"/>
      <c r="N39" s="31"/>
      <c r="O39" s="31"/>
      <c r="P39" s="31"/>
      <c r="Q39" s="33">
        <f t="shared" si="2"/>
        <v>15982.335999999999</v>
      </c>
    </row>
    <row r="40" spans="1:21" x14ac:dyDescent="0.2">
      <c r="A40" s="17" t="s">
        <v>140</v>
      </c>
      <c r="B40" s="15" t="s">
        <v>48</v>
      </c>
      <c r="C40" s="29">
        <v>34239.389000000003</v>
      </c>
      <c r="D40" s="29" t="s">
        <v>50</v>
      </c>
      <c r="E40" s="35">
        <f t="shared" si="0"/>
        <v>-1053.0011138138532</v>
      </c>
      <c r="F40" s="31">
        <f t="shared" si="1"/>
        <v>-1053</v>
      </c>
      <c r="G40" s="31">
        <f t="shared" si="3"/>
        <v>-1.1635999981081113E-3</v>
      </c>
      <c r="H40" s="31"/>
      <c r="I40" s="31">
        <f t="shared" si="4"/>
        <v>-1.1635999981081113E-3</v>
      </c>
      <c r="K40" s="31"/>
      <c r="L40" s="31"/>
      <c r="M40" s="31"/>
      <c r="N40" s="31"/>
      <c r="O40" s="31"/>
      <c r="P40" s="31"/>
      <c r="Q40" s="33">
        <f t="shared" si="2"/>
        <v>19220.889000000003</v>
      </c>
    </row>
    <row r="41" spans="1:21" x14ac:dyDescent="0.2">
      <c r="A41" s="17" t="s">
        <v>145</v>
      </c>
      <c r="B41" s="15" t="s">
        <v>48</v>
      </c>
      <c r="C41" s="29">
        <v>35339.451000000001</v>
      </c>
      <c r="D41" s="29" t="s">
        <v>50</v>
      </c>
      <c r="E41" s="35">
        <f t="shared" si="0"/>
        <v>-6.700495872866045E-3</v>
      </c>
      <c r="F41" s="31">
        <f t="shared" si="1"/>
        <v>0</v>
      </c>
      <c r="G41" s="31">
        <f t="shared" si="3"/>
        <v>-6.9999999977881089E-3</v>
      </c>
      <c r="H41" s="31"/>
      <c r="I41" s="31">
        <f t="shared" si="4"/>
        <v>-6.9999999977881089E-3</v>
      </c>
      <c r="K41" s="31"/>
      <c r="L41" s="31"/>
      <c r="M41" s="31"/>
      <c r="N41" s="31"/>
      <c r="O41" s="31"/>
      <c r="P41" s="31"/>
      <c r="Q41" s="33">
        <f t="shared" si="2"/>
        <v>20320.951000000001</v>
      </c>
    </row>
    <row r="42" spans="1:21" x14ac:dyDescent="0.2">
      <c r="A42" s="31" t="s">
        <v>15</v>
      </c>
      <c r="B42" s="31"/>
      <c r="C42" s="32">
        <v>35339.457999999999</v>
      </c>
      <c r="D42" s="32" t="s">
        <v>17</v>
      </c>
      <c r="E42" s="31">
        <f t="shared" si="0"/>
        <v>0</v>
      </c>
      <c r="F42" s="31">
        <f t="shared" si="1"/>
        <v>0</v>
      </c>
      <c r="G42" s="31">
        <f t="shared" si="3"/>
        <v>0</v>
      </c>
      <c r="H42" s="31">
        <f>+G42</f>
        <v>0</v>
      </c>
      <c r="I42" s="31"/>
      <c r="J42" s="31"/>
      <c r="K42" s="31"/>
      <c r="L42" s="31"/>
      <c r="M42" s="31"/>
      <c r="N42" s="31"/>
      <c r="O42" s="31"/>
      <c r="P42" s="31"/>
      <c r="Q42" s="33">
        <f t="shared" si="2"/>
        <v>20320.957999999999</v>
      </c>
      <c r="R42" s="31"/>
      <c r="S42" s="31"/>
      <c r="T42" s="31"/>
      <c r="U42" s="31"/>
    </row>
    <row r="43" spans="1:21" x14ac:dyDescent="0.2">
      <c r="A43" s="17" t="s">
        <v>140</v>
      </c>
      <c r="B43" s="15" t="s">
        <v>48</v>
      </c>
      <c r="C43" s="29">
        <v>35341.546000000002</v>
      </c>
      <c r="D43" s="29" t="s">
        <v>50</v>
      </c>
      <c r="E43" s="35">
        <f t="shared" si="0"/>
        <v>1.9986621981411066</v>
      </c>
      <c r="F43" s="31">
        <f t="shared" si="1"/>
        <v>2</v>
      </c>
      <c r="G43" s="31">
        <f t="shared" si="3"/>
        <v>-1.3975999972899444E-3</v>
      </c>
      <c r="H43" s="31"/>
      <c r="I43" s="31">
        <f>+G43</f>
        <v>-1.3975999972899444E-3</v>
      </c>
      <c r="K43" s="31"/>
      <c r="L43" s="31"/>
      <c r="M43" s="31"/>
      <c r="N43" s="31"/>
      <c r="O43" s="31"/>
      <c r="P43" s="31"/>
      <c r="Q43" s="33">
        <f t="shared" si="2"/>
        <v>20323.046000000002</v>
      </c>
    </row>
    <row r="44" spans="1:21" x14ac:dyDescent="0.2">
      <c r="A44" s="31" t="s">
        <v>39</v>
      </c>
      <c r="B44" s="31"/>
      <c r="C44" s="32">
        <v>35367.663999999997</v>
      </c>
      <c r="D44" s="32"/>
      <c r="E44" s="31">
        <f t="shared" si="0"/>
        <v>26.999169521395366</v>
      </c>
      <c r="F44" s="31">
        <f t="shared" si="1"/>
        <v>27</v>
      </c>
      <c r="G44" s="31">
        <f t="shared" si="3"/>
        <v>-8.6759999976493418E-4</v>
      </c>
      <c r="H44" s="31">
        <f>+G44</f>
        <v>-8.6759999976493418E-4</v>
      </c>
      <c r="I44" s="31"/>
      <c r="J44" s="31"/>
      <c r="K44" s="31"/>
      <c r="L44" s="31"/>
      <c r="M44" s="31"/>
      <c r="O44" s="31"/>
      <c r="P44" s="31"/>
      <c r="Q44" s="33">
        <f t="shared" si="2"/>
        <v>20349.163999999997</v>
      </c>
      <c r="R44" s="34" t="s">
        <v>40</v>
      </c>
      <c r="S44" s="31"/>
      <c r="T44" s="31"/>
      <c r="U44" s="31"/>
    </row>
    <row r="45" spans="1:21" x14ac:dyDescent="0.2">
      <c r="A45" s="17" t="s">
        <v>145</v>
      </c>
      <c r="B45" s="15" t="s">
        <v>48</v>
      </c>
      <c r="C45" s="29">
        <v>35691.498</v>
      </c>
      <c r="D45" s="29" t="s">
        <v>50</v>
      </c>
      <c r="E45" s="35">
        <f t="shared" si="0"/>
        <v>336.97750968987509</v>
      </c>
      <c r="F45" s="31">
        <f t="shared" si="1"/>
        <v>337</v>
      </c>
      <c r="G45" s="31">
        <f t="shared" si="3"/>
        <v>-2.349559999856865E-2</v>
      </c>
      <c r="H45" s="31"/>
      <c r="I45" s="31">
        <f>+G45</f>
        <v>-2.349559999856865E-2</v>
      </c>
      <c r="K45" s="31"/>
      <c r="L45" s="31"/>
      <c r="M45" s="31"/>
      <c r="N45" s="31"/>
      <c r="O45" s="31"/>
      <c r="P45" s="31"/>
      <c r="Q45" s="33">
        <f t="shared" si="2"/>
        <v>20672.998</v>
      </c>
    </row>
    <row r="46" spans="1:21" x14ac:dyDescent="0.2">
      <c r="A46" s="31" t="s">
        <v>39</v>
      </c>
      <c r="B46" s="31"/>
      <c r="C46" s="32">
        <v>35697.79</v>
      </c>
      <c r="D46" s="32"/>
      <c r="E46" s="31">
        <f t="shared" si="0"/>
        <v>343.0002982677899</v>
      </c>
      <c r="F46" s="31">
        <f t="shared" si="1"/>
        <v>343</v>
      </c>
      <c r="G46" s="31">
        <f t="shared" si="3"/>
        <v>3.1160000071395189E-4</v>
      </c>
      <c r="H46" s="31">
        <f>+G46</f>
        <v>3.1160000071395189E-4</v>
      </c>
      <c r="I46" s="31"/>
      <c r="J46" s="31"/>
      <c r="K46" s="31"/>
      <c r="L46" s="31"/>
      <c r="M46" s="31"/>
      <c r="O46" s="31"/>
      <c r="P46" s="31"/>
      <c r="Q46" s="33">
        <f t="shared" si="2"/>
        <v>20679.29</v>
      </c>
      <c r="R46" s="34" t="s">
        <v>40</v>
      </c>
      <c r="S46" s="31"/>
      <c r="T46" s="31"/>
      <c r="U46" s="31"/>
    </row>
    <row r="47" spans="1:21" x14ac:dyDescent="0.2">
      <c r="A47" s="31" t="s">
        <v>39</v>
      </c>
      <c r="B47" s="31"/>
      <c r="C47" s="32">
        <v>36047.769</v>
      </c>
      <c r="D47" s="32"/>
      <c r="E47" s="31">
        <f t="shared" si="0"/>
        <v>678.00499052932923</v>
      </c>
      <c r="F47" s="31">
        <f t="shared" si="1"/>
        <v>678</v>
      </c>
      <c r="G47" s="31">
        <f t="shared" si="3"/>
        <v>5.2136000012978911E-3</v>
      </c>
      <c r="H47" s="31">
        <f>+G47</f>
        <v>5.2136000012978911E-3</v>
      </c>
      <c r="I47" s="31"/>
      <c r="J47" s="31"/>
      <c r="K47" s="31"/>
      <c r="L47" s="31"/>
      <c r="M47" s="31"/>
      <c r="O47" s="31"/>
      <c r="P47" s="31"/>
      <c r="Q47" s="33">
        <f t="shared" si="2"/>
        <v>21029.269</v>
      </c>
      <c r="R47" s="34" t="s">
        <v>40</v>
      </c>
      <c r="S47" s="31"/>
      <c r="T47" s="31"/>
      <c r="U47" s="31"/>
    </row>
    <row r="48" spans="1:21" x14ac:dyDescent="0.2">
      <c r="A48" s="31" t="s">
        <v>39</v>
      </c>
      <c r="B48" s="31"/>
      <c r="C48" s="32">
        <v>36158.504999999997</v>
      </c>
      <c r="D48" s="32"/>
      <c r="E48" s="31">
        <f t="shared" si="0"/>
        <v>784.00300641677654</v>
      </c>
      <c r="F48" s="31">
        <f t="shared" si="1"/>
        <v>784</v>
      </c>
      <c r="G48" s="31">
        <f t="shared" si="3"/>
        <v>3.1407999995280989E-3</v>
      </c>
      <c r="H48" s="31">
        <f>+G48</f>
        <v>3.1407999995280989E-3</v>
      </c>
      <c r="I48" s="31"/>
      <c r="J48" s="31"/>
      <c r="K48" s="31"/>
      <c r="L48" s="31"/>
      <c r="M48" s="31"/>
      <c r="O48" s="31"/>
      <c r="P48" s="31"/>
      <c r="Q48" s="33">
        <f t="shared" si="2"/>
        <v>21140.004999999997</v>
      </c>
      <c r="R48" s="34" t="s">
        <v>40</v>
      </c>
      <c r="S48" s="31"/>
      <c r="T48" s="31"/>
      <c r="U48" s="31"/>
    </row>
    <row r="49" spans="1:21" x14ac:dyDescent="0.2">
      <c r="A49" s="17" t="s">
        <v>166</v>
      </c>
      <c r="B49" s="15" t="s">
        <v>48</v>
      </c>
      <c r="C49" s="29">
        <v>36436.402000000002</v>
      </c>
      <c r="D49" s="29" t="s">
        <v>50</v>
      </c>
      <c r="E49" s="35">
        <f t="shared" si="0"/>
        <v>1050.0098210125284</v>
      </c>
      <c r="F49" s="31">
        <f t="shared" si="1"/>
        <v>1050</v>
      </c>
      <c r="G49" s="31">
        <f t="shared" si="3"/>
        <v>1.0260000002745073E-2</v>
      </c>
      <c r="H49" s="31"/>
      <c r="I49" s="31">
        <f t="shared" ref="I49:I54" si="5">+G49</f>
        <v>1.0260000002745073E-2</v>
      </c>
      <c r="K49" s="31"/>
      <c r="L49" s="31"/>
      <c r="M49" s="31"/>
      <c r="N49" s="31"/>
      <c r="O49" s="31"/>
      <c r="P49" s="31"/>
      <c r="Q49" s="33">
        <f t="shared" si="2"/>
        <v>21417.902000000002</v>
      </c>
    </row>
    <row r="50" spans="1:21" x14ac:dyDescent="0.2">
      <c r="A50" s="8" t="s">
        <v>35</v>
      </c>
      <c r="B50" s="9"/>
      <c r="C50" s="30">
        <v>38262.521000000001</v>
      </c>
      <c r="D50" s="32"/>
      <c r="E50" s="31">
        <f t="shared" ref="E50:E72" si="6">+(C50-C$7)/C$8</f>
        <v>2797.9959391166162</v>
      </c>
      <c r="F50" s="31">
        <f t="shared" ref="F50:F72" si="7">ROUND(2*E50,0)/2</f>
        <v>2798</v>
      </c>
      <c r="G50" s="31">
        <f t="shared" ref="G50:G72" si="8">+C50-(C$7+F50*C$8)</f>
        <v>-4.2423999984748662E-3</v>
      </c>
      <c r="H50" s="31"/>
      <c r="I50" s="31">
        <f t="shared" si="5"/>
        <v>-4.2423999984748662E-3</v>
      </c>
      <c r="K50" s="31"/>
      <c r="L50" s="31"/>
      <c r="M50" s="31"/>
      <c r="N50" s="31"/>
      <c r="O50" s="31"/>
      <c r="P50" s="31"/>
      <c r="Q50" s="33">
        <f t="shared" ref="Q50:Q72" si="9">+C50-15018.5</f>
        <v>23244.021000000001</v>
      </c>
      <c r="R50" s="31"/>
      <c r="S50" s="31"/>
      <c r="T50" s="31"/>
      <c r="U50" s="31"/>
    </row>
    <row r="51" spans="1:21" x14ac:dyDescent="0.2">
      <c r="A51" s="31" t="s">
        <v>28</v>
      </c>
      <c r="B51" s="31"/>
      <c r="C51" s="32">
        <v>45577.498</v>
      </c>
      <c r="D51" s="32"/>
      <c r="E51" s="31">
        <f t="shared" si="6"/>
        <v>9799.9921125591427</v>
      </c>
      <c r="F51" s="31">
        <f t="shared" si="7"/>
        <v>9800</v>
      </c>
      <c r="G51" s="31">
        <f t="shared" si="8"/>
        <v>-8.2400000028428622E-3</v>
      </c>
      <c r="H51" s="31"/>
      <c r="I51" s="31">
        <f t="shared" si="5"/>
        <v>-8.2400000028428622E-3</v>
      </c>
      <c r="J51" s="31"/>
      <c r="K51" s="31"/>
      <c r="L51" s="31"/>
      <c r="M51" s="31"/>
      <c r="O51" s="31">
        <f t="shared" ref="O51:O72" ca="1" si="10">+C$11+C$12*F51</f>
        <v>2.0280614021145373E-2</v>
      </c>
      <c r="P51" s="31"/>
      <c r="Q51" s="33">
        <f t="shared" si="9"/>
        <v>30558.998</v>
      </c>
      <c r="R51" s="31"/>
      <c r="S51" s="31"/>
      <c r="T51" s="31"/>
      <c r="U51" s="31"/>
    </row>
    <row r="52" spans="1:21" x14ac:dyDescent="0.2">
      <c r="A52" s="31" t="s">
        <v>31</v>
      </c>
      <c r="B52" s="31"/>
      <c r="C52" s="32">
        <v>46742.334000000003</v>
      </c>
      <c r="D52" s="32"/>
      <c r="E52" s="31">
        <f t="shared" si="6"/>
        <v>10914.989085849438</v>
      </c>
      <c r="F52" s="31">
        <f t="shared" si="7"/>
        <v>10915</v>
      </c>
      <c r="G52" s="31">
        <f t="shared" si="8"/>
        <v>-1.1401999996451195E-2</v>
      </c>
      <c r="H52" s="31"/>
      <c r="I52" s="31">
        <f t="shared" si="5"/>
        <v>-1.1401999996451195E-2</v>
      </c>
      <c r="J52" s="31"/>
      <c r="K52" s="31"/>
      <c r="L52" s="31"/>
      <c r="M52" s="31"/>
      <c r="N52" s="31"/>
      <c r="O52" s="31">
        <f t="shared" ca="1" si="10"/>
        <v>1.6588358705413017E-2</v>
      </c>
      <c r="P52" s="31"/>
      <c r="Q52" s="33">
        <f t="shared" si="9"/>
        <v>31723.834000000003</v>
      </c>
      <c r="R52" s="31"/>
      <c r="S52" s="31"/>
      <c r="T52" s="31"/>
      <c r="U52" s="31"/>
    </row>
    <row r="53" spans="1:21" x14ac:dyDescent="0.2">
      <c r="A53" s="35" t="s">
        <v>31</v>
      </c>
      <c r="B53" s="35"/>
      <c r="C53" s="36">
        <v>46764.27</v>
      </c>
      <c r="D53" s="36"/>
      <c r="E53" s="35">
        <f t="shared" si="6"/>
        <v>10935.986525494238</v>
      </c>
      <c r="F53" s="31">
        <f t="shared" si="7"/>
        <v>10936</v>
      </c>
      <c r="G53" s="31">
        <f t="shared" si="8"/>
        <v>-1.4076800005568657E-2</v>
      </c>
      <c r="H53" s="31"/>
      <c r="I53" s="31">
        <f t="shared" si="5"/>
        <v>-1.4076800005568657E-2</v>
      </c>
      <c r="J53" s="31"/>
      <c r="K53" s="31"/>
      <c r="L53" s="31"/>
      <c r="M53" s="31"/>
      <c r="N53" s="31"/>
      <c r="O53" s="31">
        <f t="shared" ca="1" si="10"/>
        <v>1.6518818470766937E-2</v>
      </c>
      <c r="P53" s="31"/>
      <c r="Q53" s="33">
        <f t="shared" si="9"/>
        <v>31745.769999999997</v>
      </c>
      <c r="R53" s="31"/>
      <c r="S53" s="31"/>
      <c r="T53" s="31"/>
      <c r="U53" s="31"/>
    </row>
    <row r="54" spans="1:21" x14ac:dyDescent="0.2">
      <c r="A54" s="35" t="s">
        <v>34</v>
      </c>
      <c r="B54" s="35"/>
      <c r="C54" s="36">
        <v>47092.324000000001</v>
      </c>
      <c r="D54" s="36"/>
      <c r="E54" s="35">
        <f t="shared" si="6"/>
        <v>11250.004307461637</v>
      </c>
      <c r="F54" s="31">
        <f t="shared" si="7"/>
        <v>11250</v>
      </c>
      <c r="G54" s="31">
        <f t="shared" si="8"/>
        <v>4.5000000027357601E-3</v>
      </c>
      <c r="H54" s="31"/>
      <c r="I54" s="31">
        <f t="shared" si="5"/>
        <v>4.5000000027357601E-3</v>
      </c>
      <c r="J54" s="31"/>
      <c r="K54" s="31"/>
      <c r="L54" s="31"/>
      <c r="M54" s="31"/>
      <c r="N54" s="31"/>
      <c r="O54" s="31">
        <f t="shared" ca="1" si="10"/>
        <v>1.5479026390820785E-2</v>
      </c>
      <c r="P54" s="31"/>
      <c r="Q54" s="33">
        <f t="shared" si="9"/>
        <v>32073.824000000001</v>
      </c>
      <c r="R54" s="31"/>
      <c r="S54" s="31"/>
      <c r="T54" s="31"/>
      <c r="U54" s="31"/>
    </row>
    <row r="55" spans="1:21" x14ac:dyDescent="0.2">
      <c r="A55" s="17" t="s">
        <v>189</v>
      </c>
      <c r="B55" s="15" t="s">
        <v>48</v>
      </c>
      <c r="C55" s="29">
        <v>51434.074000000001</v>
      </c>
      <c r="D55" s="29" t="s">
        <v>50</v>
      </c>
      <c r="E55" s="35">
        <f t="shared" si="6"/>
        <v>15405.986873920026</v>
      </c>
      <c r="F55" s="31">
        <f t="shared" si="7"/>
        <v>15406</v>
      </c>
      <c r="G55" s="31">
        <f t="shared" si="8"/>
        <v>-1.3712799998756964E-2</v>
      </c>
      <c r="H55" s="31"/>
      <c r="I55" s="31"/>
      <c r="K55" s="31">
        <f>+G55</f>
        <v>-1.3712799998756964E-2</v>
      </c>
      <c r="L55" s="31"/>
      <c r="M55" s="31"/>
      <c r="N55" s="31"/>
      <c r="O55" s="31">
        <f t="shared" ca="1" si="10"/>
        <v>1.7166828103870116E-3</v>
      </c>
      <c r="P55" s="31"/>
      <c r="Q55" s="33">
        <f t="shared" si="9"/>
        <v>36415.574000000001</v>
      </c>
      <c r="R55" s="31"/>
    </row>
    <row r="56" spans="1:21" x14ac:dyDescent="0.2">
      <c r="A56" s="17" t="s">
        <v>195</v>
      </c>
      <c r="B56" s="15" t="s">
        <v>48</v>
      </c>
      <c r="C56" s="29">
        <v>52862.177300000003</v>
      </c>
      <c r="D56" s="29" t="s">
        <v>50</v>
      </c>
      <c r="E56" s="35">
        <f t="shared" si="6"/>
        <v>16772.986912591463</v>
      </c>
      <c r="F56" s="31">
        <f t="shared" si="7"/>
        <v>16773</v>
      </c>
      <c r="G56" s="31">
        <f t="shared" si="8"/>
        <v>-1.3672399996721651E-2</v>
      </c>
      <c r="H56" s="31"/>
      <c r="I56" s="31"/>
      <c r="K56" s="31">
        <f>+G56</f>
        <v>-1.3672399996721651E-2</v>
      </c>
      <c r="L56" s="31"/>
      <c r="M56" s="31"/>
      <c r="N56" s="31"/>
      <c r="O56" s="31">
        <f t="shared" ca="1" si="10"/>
        <v>-2.8100553210982995E-3</v>
      </c>
      <c r="P56" s="31"/>
      <c r="Q56" s="33">
        <f t="shared" si="9"/>
        <v>37843.677300000003</v>
      </c>
      <c r="R56" s="31"/>
    </row>
    <row r="57" spans="1:21" x14ac:dyDescent="0.2">
      <c r="A57" s="17" t="s">
        <v>200</v>
      </c>
      <c r="B57" s="15" t="s">
        <v>48</v>
      </c>
      <c r="C57" s="29">
        <v>52913.383999999998</v>
      </c>
      <c r="D57" s="29" t="s">
        <v>50</v>
      </c>
      <c r="E57" s="35">
        <f t="shared" si="6"/>
        <v>16822.002667180244</v>
      </c>
      <c r="F57" s="31">
        <f t="shared" si="7"/>
        <v>16822</v>
      </c>
      <c r="G57" s="31">
        <f t="shared" si="8"/>
        <v>2.7864000003319234E-3</v>
      </c>
      <c r="H57" s="31"/>
      <c r="I57" s="31">
        <f>+G57</f>
        <v>2.7864000003319234E-3</v>
      </c>
      <c r="K57" s="31"/>
      <c r="L57" s="31"/>
      <c r="M57" s="31"/>
      <c r="N57" s="31"/>
      <c r="O57" s="31">
        <f t="shared" ca="1" si="10"/>
        <v>-2.9723158686058224E-3</v>
      </c>
      <c r="P57" s="31"/>
      <c r="Q57" s="33">
        <f t="shared" si="9"/>
        <v>37894.883999999998</v>
      </c>
    </row>
    <row r="58" spans="1:21" x14ac:dyDescent="0.2">
      <c r="A58" s="37" t="s">
        <v>47</v>
      </c>
      <c r="B58" s="38" t="s">
        <v>48</v>
      </c>
      <c r="C58" s="39">
        <v>53250.816700000003</v>
      </c>
      <c r="D58" s="39">
        <v>2.8E-3</v>
      </c>
      <c r="E58" s="35">
        <f t="shared" si="6"/>
        <v>17144.997869242317</v>
      </c>
      <c r="F58" s="31">
        <f t="shared" si="7"/>
        <v>17145</v>
      </c>
      <c r="G58" s="31">
        <f t="shared" si="8"/>
        <v>-2.2259999896050431E-3</v>
      </c>
      <c r="H58" s="31"/>
      <c r="I58" s="31"/>
      <c r="K58" s="31">
        <f>+G58</f>
        <v>-2.2259999896050431E-3</v>
      </c>
      <c r="L58" s="31"/>
      <c r="M58" s="31"/>
      <c r="N58" s="31"/>
      <c r="O58" s="31">
        <f t="shared" ca="1" si="10"/>
        <v>-4.0419109062574399E-3</v>
      </c>
      <c r="P58" s="31"/>
      <c r="Q58" s="33">
        <f t="shared" si="9"/>
        <v>38232.316700000003</v>
      </c>
      <c r="R58" s="31"/>
      <c r="S58" s="31"/>
      <c r="T58" s="31"/>
      <c r="U58" s="31"/>
    </row>
    <row r="59" spans="1:21" x14ac:dyDescent="0.2">
      <c r="A59" s="37" t="s">
        <v>47</v>
      </c>
      <c r="B59" s="38" t="s">
        <v>48</v>
      </c>
      <c r="C59" s="39">
        <v>53251.853999999999</v>
      </c>
      <c r="D59" s="39">
        <v>1E-3</v>
      </c>
      <c r="E59" s="35">
        <f t="shared" si="6"/>
        <v>17145.990787009618</v>
      </c>
      <c r="F59" s="31">
        <f t="shared" si="7"/>
        <v>17146</v>
      </c>
      <c r="G59" s="31">
        <f t="shared" si="8"/>
        <v>-9.6247999972547404E-3</v>
      </c>
      <c r="H59" s="31"/>
      <c r="I59" s="31"/>
      <c r="K59" s="31">
        <f>+G59</f>
        <v>-9.6247999972547404E-3</v>
      </c>
      <c r="L59" s="31"/>
      <c r="M59" s="31"/>
      <c r="N59" s="31"/>
      <c r="O59" s="31">
        <f t="shared" ca="1" si="10"/>
        <v>-4.0452223460024916E-3</v>
      </c>
      <c r="P59" s="31"/>
      <c r="Q59" s="33">
        <f t="shared" si="9"/>
        <v>38233.353999999999</v>
      </c>
      <c r="R59" s="31"/>
      <c r="S59" s="31"/>
      <c r="T59" s="31"/>
      <c r="U59" s="31"/>
    </row>
    <row r="60" spans="1:21" x14ac:dyDescent="0.2">
      <c r="A60" s="40" t="s">
        <v>49</v>
      </c>
      <c r="B60" s="41" t="s">
        <v>48</v>
      </c>
      <c r="C60" s="40">
        <v>53265.43</v>
      </c>
      <c r="D60" s="40" t="s">
        <v>50</v>
      </c>
      <c r="E60" s="35">
        <f t="shared" si="6"/>
        <v>17158.9859201523</v>
      </c>
      <c r="F60" s="31">
        <f t="shared" si="7"/>
        <v>17159</v>
      </c>
      <c r="G60" s="31">
        <f t="shared" si="8"/>
        <v>-1.4709199997014366E-2</v>
      </c>
      <c r="H60" s="31"/>
      <c r="I60" s="31">
        <f>+G60</f>
        <v>-1.4709199997014366E-2</v>
      </c>
      <c r="K60" s="31"/>
      <c r="L60" s="31"/>
      <c r="M60" s="31"/>
      <c r="O60" s="31">
        <f t="shared" ca="1" si="10"/>
        <v>-4.0882710626881577E-3</v>
      </c>
      <c r="P60" s="31"/>
      <c r="Q60" s="33">
        <f t="shared" si="9"/>
        <v>38246.93</v>
      </c>
      <c r="R60" s="31"/>
      <c r="S60" s="31"/>
      <c r="T60" s="31"/>
      <c r="U60" s="31"/>
    </row>
    <row r="61" spans="1:21" x14ac:dyDescent="0.2">
      <c r="A61" s="37" t="s">
        <v>47</v>
      </c>
      <c r="B61" s="38" t="s">
        <v>48</v>
      </c>
      <c r="C61" s="39">
        <v>53974.785400000001</v>
      </c>
      <c r="D61" s="39">
        <v>8.0000000000000004E-4</v>
      </c>
      <c r="E61" s="35">
        <f t="shared" si="6"/>
        <v>17837.990624666174</v>
      </c>
      <c r="F61" s="31">
        <f t="shared" si="7"/>
        <v>17838</v>
      </c>
      <c r="G61" s="31">
        <f t="shared" si="8"/>
        <v>-9.7943999935523607E-3</v>
      </c>
      <c r="H61" s="31"/>
      <c r="I61" s="31"/>
      <c r="K61" s="31">
        <f t="shared" ref="K61:K72" si="11">+G61</f>
        <v>-9.7943999935523607E-3</v>
      </c>
      <c r="L61" s="31"/>
      <c r="M61" s="31"/>
      <c r="N61" s="31"/>
      <c r="O61" s="31">
        <f t="shared" ca="1" si="10"/>
        <v>-6.3367386495780803E-3</v>
      </c>
      <c r="P61" s="31"/>
      <c r="Q61" s="33">
        <f t="shared" si="9"/>
        <v>38956.285400000001</v>
      </c>
      <c r="R61" s="31"/>
      <c r="S61" s="31"/>
      <c r="T61" s="31"/>
      <c r="U61" s="31"/>
    </row>
    <row r="62" spans="1:21" x14ac:dyDescent="0.2">
      <c r="A62" s="40" t="s">
        <v>51</v>
      </c>
      <c r="B62" s="41" t="s">
        <v>48</v>
      </c>
      <c r="C62" s="40">
        <v>55052.917840000002</v>
      </c>
      <c r="D62" s="40">
        <v>1.2999999999999999E-4</v>
      </c>
      <c r="E62" s="35">
        <f t="shared" si="6"/>
        <v>18869.993762795559</v>
      </c>
      <c r="F62" s="31">
        <f t="shared" si="7"/>
        <v>18870</v>
      </c>
      <c r="G62" s="31">
        <f t="shared" si="8"/>
        <v>-6.5159999940078706E-3</v>
      </c>
      <c r="H62" s="31"/>
      <c r="I62" s="31"/>
      <c r="K62" s="31">
        <f t="shared" si="11"/>
        <v>-6.5159999940078706E-3</v>
      </c>
      <c r="L62" s="31"/>
      <c r="M62" s="31"/>
      <c r="N62" s="31"/>
      <c r="O62" s="31">
        <f t="shared" ca="1" si="10"/>
        <v>-9.7541444664711666E-3</v>
      </c>
      <c r="P62" s="31"/>
      <c r="Q62" s="33">
        <f t="shared" si="9"/>
        <v>40034.417840000002</v>
      </c>
      <c r="R62" s="31"/>
    </row>
    <row r="63" spans="1:21" x14ac:dyDescent="0.2">
      <c r="A63" s="17" t="s">
        <v>230</v>
      </c>
      <c r="B63" s="15" t="s">
        <v>48</v>
      </c>
      <c r="C63" s="29">
        <v>55080.079400000002</v>
      </c>
      <c r="D63" s="29" t="s">
        <v>50</v>
      </c>
      <c r="E63" s="35">
        <f t="shared" si="6"/>
        <v>18895.993180043861</v>
      </c>
      <c r="F63" s="31">
        <f t="shared" si="7"/>
        <v>18896</v>
      </c>
      <c r="G63" s="31">
        <f t="shared" si="8"/>
        <v>-7.124799994926434E-3</v>
      </c>
      <c r="H63" s="31"/>
      <c r="I63" s="31"/>
      <c r="K63" s="31">
        <f t="shared" si="11"/>
        <v>-7.124799994926434E-3</v>
      </c>
      <c r="L63" s="31"/>
      <c r="M63" s="31"/>
      <c r="N63" s="31"/>
      <c r="O63" s="31">
        <f t="shared" ca="1" si="10"/>
        <v>-9.8402418998425056E-3</v>
      </c>
      <c r="P63" s="31"/>
      <c r="Q63" s="33">
        <f t="shared" si="9"/>
        <v>40061.579400000002</v>
      </c>
      <c r="R63" s="31"/>
    </row>
    <row r="64" spans="1:21" x14ac:dyDescent="0.2">
      <c r="A64" s="40" t="s">
        <v>52</v>
      </c>
      <c r="B64" s="41" t="s">
        <v>48</v>
      </c>
      <c r="C64" s="40">
        <v>55866.735999999997</v>
      </c>
      <c r="D64" s="40">
        <v>2.9999999999999997E-4</v>
      </c>
      <c r="E64" s="35">
        <f t="shared" si="6"/>
        <v>19648.991651947912</v>
      </c>
      <c r="F64" s="31">
        <f t="shared" si="7"/>
        <v>19649</v>
      </c>
      <c r="G64" s="31">
        <f t="shared" si="8"/>
        <v>-8.7211999998544343E-3</v>
      </c>
      <c r="H64" s="31"/>
      <c r="I64" s="31"/>
      <c r="K64" s="31">
        <f t="shared" si="11"/>
        <v>-8.7211999998544343E-3</v>
      </c>
      <c r="L64" s="31"/>
      <c r="M64" s="31"/>
      <c r="N64" s="31"/>
      <c r="O64" s="31">
        <f t="shared" ca="1" si="10"/>
        <v>-1.2333756027866238E-2</v>
      </c>
      <c r="P64" s="31"/>
      <c r="Q64" s="33">
        <f t="shared" si="9"/>
        <v>40848.235999999997</v>
      </c>
      <c r="R64" s="31"/>
    </row>
    <row r="65" spans="1:21" x14ac:dyDescent="0.2">
      <c r="A65" s="57" t="s">
        <v>55</v>
      </c>
      <c r="B65" s="58" t="s">
        <v>48</v>
      </c>
      <c r="C65" s="57">
        <v>56163.424249999996</v>
      </c>
      <c r="D65" s="57">
        <v>8.1999999999999998E-4</v>
      </c>
      <c r="E65" s="35">
        <f t="shared" si="6"/>
        <v>19932.985708416625</v>
      </c>
      <c r="F65" s="31">
        <f t="shared" si="7"/>
        <v>19933</v>
      </c>
      <c r="G65" s="31">
        <f t="shared" si="8"/>
        <v>-1.4930400000594091E-2</v>
      </c>
      <c r="H65" s="31"/>
      <c r="I65" s="31"/>
      <c r="K65" s="31">
        <f t="shared" si="11"/>
        <v>-1.4930400000594091E-2</v>
      </c>
      <c r="L65" s="31"/>
      <c r="M65" s="31"/>
      <c r="N65" s="31"/>
      <c r="O65" s="31">
        <f t="shared" ca="1" si="10"/>
        <v>-1.3274204915460844E-2</v>
      </c>
      <c r="P65" s="31"/>
      <c r="Q65" s="33">
        <f t="shared" si="9"/>
        <v>41144.924249999996</v>
      </c>
      <c r="R65" s="31"/>
    </row>
    <row r="66" spans="1:21" x14ac:dyDescent="0.2">
      <c r="A66" s="57" t="s">
        <v>55</v>
      </c>
      <c r="B66" s="58" t="s">
        <v>48</v>
      </c>
      <c r="C66" s="57">
        <v>56209.392480000002</v>
      </c>
      <c r="D66" s="57">
        <v>6.6E-4</v>
      </c>
      <c r="E66" s="35">
        <f t="shared" si="6"/>
        <v>19976.9871277731</v>
      </c>
      <c r="F66" s="31">
        <f t="shared" si="7"/>
        <v>19977</v>
      </c>
      <c r="G66" s="31">
        <f t="shared" si="8"/>
        <v>-1.3447599994833581E-2</v>
      </c>
      <c r="H66" s="31"/>
      <c r="I66" s="31"/>
      <c r="K66" s="31">
        <f t="shared" si="11"/>
        <v>-1.3447599994833581E-2</v>
      </c>
      <c r="L66" s="31"/>
      <c r="M66" s="31"/>
      <c r="N66" s="31"/>
      <c r="O66" s="31">
        <f t="shared" ca="1" si="10"/>
        <v>-1.3419908264243108E-2</v>
      </c>
      <c r="P66" s="31"/>
      <c r="Q66" s="33">
        <f t="shared" si="9"/>
        <v>41190.892480000002</v>
      </c>
      <c r="R66" s="31"/>
    </row>
    <row r="67" spans="1:21" x14ac:dyDescent="0.2">
      <c r="A67" s="57" t="s">
        <v>55</v>
      </c>
      <c r="B67" s="58" t="s">
        <v>48</v>
      </c>
      <c r="C67" s="57">
        <v>56889.489450000001</v>
      </c>
      <c r="D67" s="57">
        <v>1.9000000000000001E-4</v>
      </c>
      <c r="E67" s="35">
        <f t="shared" si="6"/>
        <v>20627.985262355047</v>
      </c>
      <c r="F67" s="31">
        <f t="shared" si="7"/>
        <v>20628</v>
      </c>
      <c r="G67" s="31">
        <f t="shared" si="8"/>
        <v>-1.5396399998280685E-2</v>
      </c>
      <c r="H67" s="31"/>
      <c r="I67" s="31"/>
      <c r="K67" s="31">
        <f t="shared" si="11"/>
        <v>-1.5396399998280685E-2</v>
      </c>
      <c r="L67" s="31"/>
      <c r="M67" s="31"/>
      <c r="N67" s="31"/>
      <c r="O67" s="31">
        <f t="shared" ca="1" si="10"/>
        <v>-1.5575655538271588E-2</v>
      </c>
      <c r="P67" s="31"/>
      <c r="Q67" s="33">
        <f t="shared" si="9"/>
        <v>41870.989450000001</v>
      </c>
      <c r="R67" s="31"/>
    </row>
    <row r="68" spans="1:21" x14ac:dyDescent="0.2">
      <c r="A68" s="59" t="s">
        <v>1</v>
      </c>
      <c r="B68" s="60" t="s">
        <v>48</v>
      </c>
      <c r="C68" s="59">
        <v>57605.104299999999</v>
      </c>
      <c r="D68" s="59" t="s">
        <v>229</v>
      </c>
      <c r="E68" s="35">
        <f t="shared" si="6"/>
        <v>21312.981598141017</v>
      </c>
      <c r="F68" s="31">
        <f t="shared" si="7"/>
        <v>21313</v>
      </c>
      <c r="G68" s="31">
        <f t="shared" si="8"/>
        <v>-1.9224399999075104E-2</v>
      </c>
      <c r="H68" s="31"/>
      <c r="I68" s="31"/>
      <c r="K68" s="31">
        <f t="shared" si="11"/>
        <v>-1.9224399999075104E-2</v>
      </c>
      <c r="L68" s="31"/>
      <c r="M68" s="31"/>
      <c r="N68" s="31"/>
      <c r="O68" s="31">
        <f t="shared" ca="1" si="10"/>
        <v>-1.7843991763631828E-2</v>
      </c>
      <c r="P68" s="31"/>
      <c r="Q68" s="33">
        <f t="shared" si="9"/>
        <v>42586.604299999999</v>
      </c>
    </row>
    <row r="69" spans="1:21" x14ac:dyDescent="0.2">
      <c r="A69" s="61" t="s">
        <v>2</v>
      </c>
      <c r="B69" s="62" t="s">
        <v>48</v>
      </c>
      <c r="C69" s="63">
        <v>57688.678800000002</v>
      </c>
      <c r="D69" s="63">
        <v>1E-4</v>
      </c>
      <c r="E69" s="35">
        <f t="shared" si="6"/>
        <v>21392.980254212987</v>
      </c>
      <c r="F69" s="31">
        <f t="shared" si="7"/>
        <v>21393</v>
      </c>
      <c r="G69" s="31">
        <f t="shared" si="8"/>
        <v>-2.0628399994166102E-2</v>
      </c>
      <c r="H69" s="31"/>
      <c r="I69" s="31"/>
      <c r="K69" s="31">
        <f t="shared" si="11"/>
        <v>-2.0628399994166102E-2</v>
      </c>
      <c r="L69" s="31"/>
      <c r="M69" s="31"/>
      <c r="N69" s="31"/>
      <c r="O69" s="31">
        <f t="shared" ca="1" si="10"/>
        <v>-1.8108906943235942E-2</v>
      </c>
      <c r="P69" s="31"/>
      <c r="Q69" s="33">
        <f t="shared" si="9"/>
        <v>42670.178800000002</v>
      </c>
    </row>
    <row r="70" spans="1:21" x14ac:dyDescent="0.2">
      <c r="A70" s="59" t="s">
        <v>0</v>
      </c>
      <c r="B70" s="60" t="s">
        <v>48</v>
      </c>
      <c r="C70" s="59">
        <v>58398.024000000209</v>
      </c>
      <c r="D70" s="59" t="s">
        <v>17</v>
      </c>
      <c r="E70" s="35">
        <f t="shared" si="6"/>
        <v>22071.975195147359</v>
      </c>
      <c r="F70" s="31">
        <f t="shared" si="7"/>
        <v>22072</v>
      </c>
      <c r="G70" s="31">
        <f t="shared" si="8"/>
        <v>-2.5913599791238084E-2</v>
      </c>
      <c r="H70" s="31"/>
      <c r="I70" s="31"/>
      <c r="K70" s="31">
        <f t="shared" si="11"/>
        <v>-2.5913599791238084E-2</v>
      </c>
      <c r="L70" s="31"/>
      <c r="M70" s="31"/>
      <c r="N70" s="31"/>
      <c r="O70" s="31">
        <f t="shared" ca="1" si="10"/>
        <v>-2.0357374530125871E-2</v>
      </c>
      <c r="P70" s="31"/>
      <c r="Q70" s="33">
        <f t="shared" si="9"/>
        <v>43379.524000000209</v>
      </c>
    </row>
    <row r="71" spans="1:21" x14ac:dyDescent="0.2">
      <c r="A71" s="59" t="s">
        <v>0</v>
      </c>
      <c r="B71" s="60" t="s">
        <v>48</v>
      </c>
      <c r="C71" s="59">
        <v>58398.024000000209</v>
      </c>
      <c r="D71" s="59" t="s">
        <v>17</v>
      </c>
      <c r="E71" s="35">
        <f t="shared" si="6"/>
        <v>22071.975195147359</v>
      </c>
      <c r="F71" s="31">
        <f t="shared" si="7"/>
        <v>22072</v>
      </c>
      <c r="G71" s="31">
        <f t="shared" si="8"/>
        <v>-2.5913599791238084E-2</v>
      </c>
      <c r="H71" s="31"/>
      <c r="I71" s="31"/>
      <c r="K71" s="31">
        <f t="shared" si="11"/>
        <v>-2.5913599791238084E-2</v>
      </c>
      <c r="L71" s="31"/>
      <c r="M71" s="31"/>
      <c r="N71" s="31"/>
      <c r="O71" s="31">
        <f t="shared" ca="1" si="10"/>
        <v>-2.0357374530125871E-2</v>
      </c>
      <c r="P71" s="31"/>
      <c r="Q71" s="33">
        <f t="shared" si="9"/>
        <v>43379.524000000209</v>
      </c>
    </row>
    <row r="72" spans="1:21" x14ac:dyDescent="0.2">
      <c r="A72" s="59" t="s">
        <v>0</v>
      </c>
      <c r="B72" s="60" t="s">
        <v>48</v>
      </c>
      <c r="C72" s="59">
        <v>58398.025100000203</v>
      </c>
      <c r="D72" s="59" t="s">
        <v>17</v>
      </c>
      <c r="E72" s="35">
        <f t="shared" si="6"/>
        <v>22071.976248082417</v>
      </c>
      <c r="F72" s="31">
        <f t="shared" si="7"/>
        <v>22072</v>
      </c>
      <c r="G72" s="31">
        <f t="shared" si="8"/>
        <v>-2.4813599797198549E-2</v>
      </c>
      <c r="H72" s="31"/>
      <c r="I72" s="31"/>
      <c r="K72" s="31">
        <f t="shared" si="11"/>
        <v>-2.4813599797198549E-2</v>
      </c>
      <c r="L72" s="31"/>
      <c r="M72" s="31"/>
      <c r="N72" s="31"/>
      <c r="O72" s="31">
        <f t="shared" ca="1" si="10"/>
        <v>-2.0357374530125871E-2</v>
      </c>
      <c r="P72" s="31"/>
      <c r="Q72" s="33">
        <f t="shared" si="9"/>
        <v>43379.525100000203</v>
      </c>
    </row>
    <row r="73" spans="1:21" x14ac:dyDescent="0.2">
      <c r="A73" s="64" t="s">
        <v>256</v>
      </c>
      <c r="B73" s="65" t="s">
        <v>48</v>
      </c>
      <c r="C73" s="66">
        <v>58763.6999</v>
      </c>
      <c r="D73" s="66">
        <v>2.9999999999999997E-4</v>
      </c>
      <c r="E73" s="35">
        <f>+(C73-C$7)/C$8</f>
        <v>22422.005175080132</v>
      </c>
      <c r="F73" s="31">
        <f>ROUND(2*E73,0)/2</f>
        <v>22422</v>
      </c>
      <c r="G73" s="31">
        <f>+C73-(C$7+F73*C$8)</f>
        <v>5.4064000069047324E-3</v>
      </c>
      <c r="H73" s="31"/>
      <c r="I73" s="31"/>
      <c r="K73" s="31">
        <f>+G73</f>
        <v>5.4064000069047324E-3</v>
      </c>
      <c r="L73" s="31"/>
      <c r="M73" s="31"/>
      <c r="N73" s="31"/>
      <c r="O73" s="31">
        <f ca="1">+C$11+C$12*F73</f>
        <v>-2.151637844089388E-2</v>
      </c>
      <c r="P73" s="31"/>
      <c r="Q73" s="33">
        <f>+C73-15018.5</f>
        <v>43745.1999</v>
      </c>
      <c r="U73" s="31">
        <f>+C73-(C$7+F73*C$8)</f>
        <v>5.4064000069047324E-3</v>
      </c>
    </row>
    <row r="74" spans="1:21" x14ac:dyDescent="0.2">
      <c r="A74" s="67" t="s">
        <v>257</v>
      </c>
      <c r="B74" s="68" t="s">
        <v>48</v>
      </c>
      <c r="C74" s="69">
        <v>59137.664400000001</v>
      </c>
      <c r="D74" s="69">
        <v>1E-4</v>
      </c>
      <c r="E74" s="35">
        <f>+(C74-C$7)/C$8</f>
        <v>22779.969116457301</v>
      </c>
      <c r="F74" s="31">
        <f>ROUND(2*E74,0)/2</f>
        <v>22780</v>
      </c>
      <c r="G74" s="31">
        <f>+C74-(C$7+F74*C$8)</f>
        <v>-3.2263999994029291E-2</v>
      </c>
      <c r="H74" s="31"/>
      <c r="I74" s="31"/>
      <c r="K74" s="31">
        <f>+G74</f>
        <v>-3.2263999994029291E-2</v>
      </c>
      <c r="L74" s="31"/>
      <c r="M74" s="31"/>
      <c r="N74" s="31"/>
      <c r="O74" s="31">
        <f ca="1">+C$11+C$12*F74</f>
        <v>-2.2701873869622288E-2</v>
      </c>
      <c r="P74" s="31"/>
      <c r="Q74" s="33">
        <f>+C74-15018.5</f>
        <v>44119.164400000001</v>
      </c>
      <c r="U74" s="31">
        <f>+C74-(C$7+F74*C$8)</f>
        <v>-3.2263999994029291E-2</v>
      </c>
    </row>
  </sheetData>
  <protectedRanges>
    <protectedRange sqref="A73:D73" name="Range1"/>
  </protectedRanges>
  <phoneticPr fontId="8" type="noConversion"/>
  <hyperlinks>
    <hyperlink ref="R44" r:id="rId1" display="http://simbad.u-strasbg.fr/cgi-bin/cdsbib?1959AJ.....64..258W"/>
    <hyperlink ref="R46" r:id="rId2" display="http://simbad.u-strasbg.fr/cgi-bin/cdsbib?1959AJ.....64..258W"/>
    <hyperlink ref="R47" r:id="rId3" display="http://simbad.u-strasbg.fr/cgi-bin/cdsbib?1959AJ.....64..258W"/>
    <hyperlink ref="R48" r:id="rId4" display="http://simbad.u-strasbg.fr/cgi-bin/cdsbib?1959AJ.....64..258W"/>
    <hyperlink ref="H64787" r:id="rId5" display="http://vsolj.cetus-net.org/bulletin.html"/>
    <hyperlink ref="H64780" r:id="rId6" display="http://vsolj.cetus-net.org/bulletin.html"/>
    <hyperlink ref="AP2277" r:id="rId7" display="http://cdsbib.u-strasbg.fr/cgi-bin/cdsbib?1990RMxAA..21..381G"/>
    <hyperlink ref="AP2280" r:id="rId8" display="http://cdsbib.u-strasbg.fr/cgi-bin/cdsbib?1990RMxAA..21..381G"/>
    <hyperlink ref="AP2278" r:id="rId9" display="http://cdsbib.u-strasbg.fr/cgi-bin/cdsbib?1990RMxAA..21..381G"/>
    <hyperlink ref="AP2256" r:id="rId10" display="http://cdsbib.u-strasbg.fr/cgi-bin/cdsbib?1990RMxAA..21..381G"/>
    <hyperlink ref="I64787" r:id="rId11" display="http://vsolj.cetus-net.org/bulletin.html"/>
    <hyperlink ref="AQ2390" r:id="rId12" display="http://cdsbib.u-strasbg.fr/cgi-bin/cdsbib?1990RMxAA..21..381G"/>
    <hyperlink ref="AQ659" r:id="rId13" display="http://cdsbib.u-strasbg.fr/cgi-bin/cdsbib?1990RMxAA..21..381G"/>
    <hyperlink ref="AQ2391" r:id="rId14" display="http://cdsbib.u-strasbg.fr/cgi-bin/cdsbib?1990RMxAA..21..381G"/>
    <hyperlink ref="H64784" r:id="rId15" display="https://www.aavso.org/ejaavso"/>
    <hyperlink ref="H64982" r:id="rId16" display="http://vsolj.cetus-net.org/bulletin.html"/>
    <hyperlink ref="H64975" r:id="rId17" display="https://www.aavso.org/ejaavso"/>
    <hyperlink ref="I64982" r:id="rId18" display="http://vsolj.cetus-net.org/bulletin.html"/>
    <hyperlink ref="AQ58633" r:id="rId19" display="http://cdsbib.u-strasbg.fr/cgi-bin/cdsbib?1990RMxAA..21..381G"/>
    <hyperlink ref="H64979" r:id="rId20" display="https://www.aavso.org/ejaavso"/>
    <hyperlink ref="AP5997" r:id="rId21" display="http://cdsbib.u-strasbg.fr/cgi-bin/cdsbib?1990RMxAA..21..381G"/>
    <hyperlink ref="AP6000" r:id="rId22" display="http://cdsbib.u-strasbg.fr/cgi-bin/cdsbib?1990RMxAA..21..381G"/>
    <hyperlink ref="AP5998" r:id="rId23" display="http://cdsbib.u-strasbg.fr/cgi-bin/cdsbib?1990RMxAA..21..381G"/>
    <hyperlink ref="AP5982" r:id="rId24" display="http://cdsbib.u-strasbg.fr/cgi-bin/cdsbib?1990RMxAA..21..381G"/>
    <hyperlink ref="AQ6211" r:id="rId25" display="http://cdsbib.u-strasbg.fr/cgi-bin/cdsbib?1990RMxAA..21..381G"/>
    <hyperlink ref="AQ6215" r:id="rId26" display="http://cdsbib.u-strasbg.fr/cgi-bin/cdsbib?1990RMxAA..21..381G"/>
    <hyperlink ref="AQ359" r:id="rId27" display="http://cdsbib.u-strasbg.fr/cgi-bin/cdsbib?1990RMxAA..21..381G"/>
    <hyperlink ref="I3103" r:id="rId28" display="http://vsolj.cetus-net.org/bulletin.html"/>
    <hyperlink ref="H3103" r:id="rId29" display="http://vsolj.cetus-net.org/bulletin.html"/>
    <hyperlink ref="AQ1020" r:id="rId30" display="http://cdsbib.u-strasbg.fr/cgi-bin/cdsbib?1990RMxAA..21..381G"/>
    <hyperlink ref="AQ1019" r:id="rId31" display="http://cdsbib.u-strasbg.fr/cgi-bin/cdsbib?1990RMxAA..21..381G"/>
    <hyperlink ref="AP4273" r:id="rId32" display="http://cdsbib.u-strasbg.fr/cgi-bin/cdsbib?1990RMxAA..21..381G"/>
    <hyperlink ref="AP4291" r:id="rId33" display="http://cdsbib.u-strasbg.fr/cgi-bin/cdsbib?1990RMxAA..21..381G"/>
    <hyperlink ref="AP4292" r:id="rId34" display="http://cdsbib.u-strasbg.fr/cgi-bin/cdsbib?1990RMxAA..21..381G"/>
    <hyperlink ref="AP4288" r:id="rId35" display="http://cdsbib.u-strasbg.fr/cgi-bin/cdsbib?1990RMxAA..21..381G"/>
  </hyperlinks>
  <pageMargins left="0.75" right="0.75" top="1" bottom="1" header="0.5" footer="0.5"/>
  <headerFooter alignWithMargins="0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A13" workbookViewId="0">
      <selection activeCell="A29" sqref="A29:D56"/>
    </sheetView>
  </sheetViews>
  <sheetFormatPr defaultRowHeight="12.75" x14ac:dyDescent="0.2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56</v>
      </c>
      <c r="I1" s="43" t="s">
        <v>57</v>
      </c>
      <c r="J1" s="44" t="s">
        <v>58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50</v>
      </c>
    </row>
    <row r="10" spans="1:16" ht="13.5" thickBot="1" x14ac:dyDescent="0.25"/>
    <row r="11" spans="1:16" ht="12.75" customHeight="1" thickBot="1" x14ac:dyDescent="0.25">
      <c r="A11" s="29" t="str">
        <f t="shared" ref="A11:A56" si="0">P11</f>
        <v> AJ 64.260 </v>
      </c>
      <c r="B11" s="15" t="str">
        <f t="shared" ref="B11:B56" si="1">IF(H11=INT(H11),"I","II")</f>
        <v>I</v>
      </c>
      <c r="C11" s="29">
        <f t="shared" ref="C11:C56" si="2">1*G11</f>
        <v>35367.663999999997</v>
      </c>
      <c r="D11" s="12" t="str">
        <f t="shared" ref="D11:D56" si="3">VLOOKUP(F11,I$1:J$5,2,FALSE)</f>
        <v>vis</v>
      </c>
      <c r="E11" s="50">
        <f>VLOOKUP(C11,Active!C$21:E$973,3,FALSE)</f>
        <v>26.999169521395366</v>
      </c>
      <c r="F11" s="15" t="s">
        <v>65</v>
      </c>
      <c r="G11" s="12" t="str">
        <f t="shared" ref="G11:G56" si="4">MID(I11,3,LEN(I11)-3)</f>
        <v>35367.664</v>
      </c>
      <c r="H11" s="29">
        <f t="shared" ref="H11:H56" si="5">1*K11</f>
        <v>-16400</v>
      </c>
      <c r="I11" s="51" t="s">
        <v>148</v>
      </c>
      <c r="J11" s="52" t="s">
        <v>149</v>
      </c>
      <c r="K11" s="51">
        <v>-16400</v>
      </c>
      <c r="L11" s="51" t="s">
        <v>150</v>
      </c>
      <c r="M11" s="52" t="s">
        <v>67</v>
      </c>
      <c r="N11" s="52"/>
      <c r="O11" s="53" t="s">
        <v>151</v>
      </c>
      <c r="P11" s="53" t="s">
        <v>152</v>
      </c>
    </row>
    <row r="12" spans="1:16" ht="12.75" customHeight="1" thickBot="1" x14ac:dyDescent="0.25">
      <c r="A12" s="29" t="str">
        <f t="shared" si="0"/>
        <v> AJ 64.260 </v>
      </c>
      <c r="B12" s="15" t="str">
        <f t="shared" si="1"/>
        <v>I</v>
      </c>
      <c r="C12" s="29">
        <f t="shared" si="2"/>
        <v>35697.79</v>
      </c>
      <c r="D12" s="12" t="str">
        <f t="shared" si="3"/>
        <v>vis</v>
      </c>
      <c r="E12" s="50">
        <f>VLOOKUP(C12,Active!C$21:E$973,3,FALSE)</f>
        <v>343.0002982677899</v>
      </c>
      <c r="F12" s="15" t="s">
        <v>65</v>
      </c>
      <c r="G12" s="12" t="str">
        <f t="shared" si="4"/>
        <v>35697.790</v>
      </c>
      <c r="H12" s="29">
        <f t="shared" si="5"/>
        <v>-16084</v>
      </c>
      <c r="I12" s="51" t="s">
        <v>156</v>
      </c>
      <c r="J12" s="52" t="s">
        <v>157</v>
      </c>
      <c r="K12" s="51">
        <v>-16084</v>
      </c>
      <c r="L12" s="51" t="s">
        <v>121</v>
      </c>
      <c r="M12" s="52" t="s">
        <v>67</v>
      </c>
      <c r="N12" s="52"/>
      <c r="O12" s="53" t="s">
        <v>151</v>
      </c>
      <c r="P12" s="53" t="s">
        <v>152</v>
      </c>
    </row>
    <row r="13" spans="1:16" ht="12.75" customHeight="1" thickBot="1" x14ac:dyDescent="0.25">
      <c r="A13" s="29" t="str">
        <f t="shared" si="0"/>
        <v> AJ 64.260 </v>
      </c>
      <c r="B13" s="15" t="str">
        <f t="shared" si="1"/>
        <v>I</v>
      </c>
      <c r="C13" s="29">
        <f t="shared" si="2"/>
        <v>36047.769</v>
      </c>
      <c r="D13" s="12" t="str">
        <f t="shared" si="3"/>
        <v>vis</v>
      </c>
      <c r="E13" s="50">
        <f>VLOOKUP(C13,Active!C$21:E$973,3,FALSE)</f>
        <v>678.00499052932923</v>
      </c>
      <c r="F13" s="15" t="s">
        <v>65</v>
      </c>
      <c r="G13" s="12" t="str">
        <f t="shared" si="4"/>
        <v>36047.769</v>
      </c>
      <c r="H13" s="29">
        <f t="shared" si="5"/>
        <v>-15749</v>
      </c>
      <c r="I13" s="51" t="s">
        <v>158</v>
      </c>
      <c r="J13" s="52" t="s">
        <v>159</v>
      </c>
      <c r="K13" s="51">
        <v>-15749</v>
      </c>
      <c r="L13" s="51" t="s">
        <v>160</v>
      </c>
      <c r="M13" s="52" t="s">
        <v>67</v>
      </c>
      <c r="N13" s="52"/>
      <c r="O13" s="53" t="s">
        <v>151</v>
      </c>
      <c r="P13" s="53" t="s">
        <v>152</v>
      </c>
    </row>
    <row r="14" spans="1:16" ht="12.75" customHeight="1" thickBot="1" x14ac:dyDescent="0.25">
      <c r="A14" s="29" t="str">
        <f t="shared" si="0"/>
        <v> AJ 64.260 </v>
      </c>
      <c r="B14" s="15" t="str">
        <f t="shared" si="1"/>
        <v>I</v>
      </c>
      <c r="C14" s="29">
        <f t="shared" si="2"/>
        <v>36158.504999999997</v>
      </c>
      <c r="D14" s="12" t="str">
        <f t="shared" si="3"/>
        <v>vis</v>
      </c>
      <c r="E14" s="50">
        <f>VLOOKUP(C14,Active!C$21:E$973,3,FALSE)</f>
        <v>784.00300641677654</v>
      </c>
      <c r="F14" s="15" t="s">
        <v>65</v>
      </c>
      <c r="G14" s="12" t="str">
        <f t="shared" si="4"/>
        <v>36158.505</v>
      </c>
      <c r="H14" s="29">
        <f t="shared" si="5"/>
        <v>-15643</v>
      </c>
      <c r="I14" s="51" t="s">
        <v>161</v>
      </c>
      <c r="J14" s="52" t="s">
        <v>162</v>
      </c>
      <c r="K14" s="51">
        <v>-15643</v>
      </c>
      <c r="L14" s="51" t="s">
        <v>128</v>
      </c>
      <c r="M14" s="52" t="s">
        <v>67</v>
      </c>
      <c r="N14" s="52"/>
      <c r="O14" s="53" t="s">
        <v>151</v>
      </c>
      <c r="P14" s="53" t="s">
        <v>152</v>
      </c>
    </row>
    <row r="15" spans="1:16" ht="12.75" customHeight="1" thickBot="1" x14ac:dyDescent="0.25">
      <c r="A15" s="29" t="str">
        <f t="shared" si="0"/>
        <v>IBVS 35 </v>
      </c>
      <c r="B15" s="15" t="str">
        <f t="shared" si="1"/>
        <v>I</v>
      </c>
      <c r="C15" s="29">
        <f t="shared" si="2"/>
        <v>38262.521000000001</v>
      </c>
      <c r="D15" s="12" t="str">
        <f t="shared" si="3"/>
        <v>vis</v>
      </c>
      <c r="E15" s="50">
        <f>VLOOKUP(C15,Active!C$21:E$973,3,FALSE)</f>
        <v>2797.9959391166162</v>
      </c>
      <c r="F15" s="15" t="s">
        <v>65</v>
      </c>
      <c r="G15" s="12" t="str">
        <f t="shared" si="4"/>
        <v>38262.521</v>
      </c>
      <c r="H15" s="29">
        <f t="shared" si="5"/>
        <v>-13629</v>
      </c>
      <c r="I15" s="51" t="s">
        <v>167</v>
      </c>
      <c r="J15" s="52" t="s">
        <v>168</v>
      </c>
      <c r="K15" s="51">
        <v>-13629</v>
      </c>
      <c r="L15" s="51" t="s">
        <v>66</v>
      </c>
      <c r="M15" s="52" t="s">
        <v>71</v>
      </c>
      <c r="N15" s="52"/>
      <c r="O15" s="53" t="s">
        <v>139</v>
      </c>
      <c r="P15" s="54" t="s">
        <v>169</v>
      </c>
    </row>
    <row r="16" spans="1:16" ht="12.75" customHeight="1" thickBot="1" x14ac:dyDescent="0.25">
      <c r="A16" s="29" t="str">
        <f t="shared" si="0"/>
        <v> VSSC 60.18 </v>
      </c>
      <c r="B16" s="15" t="str">
        <f t="shared" si="1"/>
        <v>I</v>
      </c>
      <c r="C16" s="29">
        <f t="shared" si="2"/>
        <v>45577.498</v>
      </c>
      <c r="D16" s="12" t="str">
        <f t="shared" si="3"/>
        <v>vis</v>
      </c>
      <c r="E16" s="50">
        <f>VLOOKUP(C16,Active!C$21:E$973,3,FALSE)</f>
        <v>9799.9921125591427</v>
      </c>
      <c r="F16" s="15" t="s">
        <v>65</v>
      </c>
      <c r="G16" s="12" t="str">
        <f t="shared" si="4"/>
        <v>45577.498</v>
      </c>
      <c r="H16" s="29">
        <f t="shared" si="5"/>
        <v>-6627</v>
      </c>
      <c r="I16" s="51" t="s">
        <v>170</v>
      </c>
      <c r="J16" s="52" t="s">
        <v>171</v>
      </c>
      <c r="K16" s="51">
        <v>-6627</v>
      </c>
      <c r="L16" s="51" t="s">
        <v>113</v>
      </c>
      <c r="M16" s="52" t="s">
        <v>71</v>
      </c>
      <c r="N16" s="52"/>
      <c r="O16" s="53" t="s">
        <v>172</v>
      </c>
      <c r="P16" s="53" t="s">
        <v>173</v>
      </c>
    </row>
    <row r="17" spans="1:16" ht="12.75" customHeight="1" thickBot="1" x14ac:dyDescent="0.25">
      <c r="A17" s="29" t="str">
        <f t="shared" si="0"/>
        <v> BBS 82 </v>
      </c>
      <c r="B17" s="15" t="str">
        <f t="shared" si="1"/>
        <v>I</v>
      </c>
      <c r="C17" s="29">
        <f t="shared" si="2"/>
        <v>46742.334000000003</v>
      </c>
      <c r="D17" s="12" t="str">
        <f t="shared" si="3"/>
        <v>vis</v>
      </c>
      <c r="E17" s="50">
        <f>VLOOKUP(C17,Active!C$21:E$973,3,FALSE)</f>
        <v>10914.989085849438</v>
      </c>
      <c r="F17" s="15" t="s">
        <v>65</v>
      </c>
      <c r="G17" s="12" t="str">
        <f t="shared" si="4"/>
        <v>46742.334</v>
      </c>
      <c r="H17" s="29">
        <f t="shared" si="5"/>
        <v>-5512</v>
      </c>
      <c r="I17" s="51" t="s">
        <v>174</v>
      </c>
      <c r="J17" s="52" t="s">
        <v>175</v>
      </c>
      <c r="K17" s="51">
        <v>-5512</v>
      </c>
      <c r="L17" s="51" t="s">
        <v>118</v>
      </c>
      <c r="M17" s="52" t="s">
        <v>71</v>
      </c>
      <c r="N17" s="52"/>
      <c r="O17" s="53" t="s">
        <v>176</v>
      </c>
      <c r="P17" s="53" t="s">
        <v>177</v>
      </c>
    </row>
    <row r="18" spans="1:16" ht="12.75" customHeight="1" thickBot="1" x14ac:dyDescent="0.25">
      <c r="A18" s="29" t="str">
        <f t="shared" si="0"/>
        <v> BBS 82 </v>
      </c>
      <c r="B18" s="15" t="str">
        <f t="shared" si="1"/>
        <v>I</v>
      </c>
      <c r="C18" s="29">
        <f t="shared" si="2"/>
        <v>46764.27</v>
      </c>
      <c r="D18" s="12" t="str">
        <f t="shared" si="3"/>
        <v>vis</v>
      </c>
      <c r="E18" s="50">
        <f>VLOOKUP(C18,Active!C$21:E$973,3,FALSE)</f>
        <v>10935.986525494238</v>
      </c>
      <c r="F18" s="15" t="s">
        <v>65</v>
      </c>
      <c r="G18" s="12" t="str">
        <f t="shared" si="4"/>
        <v>46764.27</v>
      </c>
      <c r="H18" s="29">
        <f t="shared" si="5"/>
        <v>-5491</v>
      </c>
      <c r="I18" s="51" t="s">
        <v>178</v>
      </c>
      <c r="J18" s="52" t="s">
        <v>179</v>
      </c>
      <c r="K18" s="51">
        <v>-5491</v>
      </c>
      <c r="L18" s="51" t="s">
        <v>80</v>
      </c>
      <c r="M18" s="52" t="s">
        <v>71</v>
      </c>
      <c r="N18" s="52"/>
      <c r="O18" s="53" t="s">
        <v>176</v>
      </c>
      <c r="P18" s="53" t="s">
        <v>177</v>
      </c>
    </row>
    <row r="19" spans="1:16" ht="12.75" customHeight="1" thickBot="1" x14ac:dyDescent="0.25">
      <c r="A19" s="29" t="str">
        <f t="shared" si="0"/>
        <v> BBS 86 </v>
      </c>
      <c r="B19" s="15" t="str">
        <f t="shared" si="1"/>
        <v>I</v>
      </c>
      <c r="C19" s="29">
        <f t="shared" si="2"/>
        <v>47092.324000000001</v>
      </c>
      <c r="D19" s="12" t="str">
        <f t="shared" si="3"/>
        <v>vis</v>
      </c>
      <c r="E19" s="50">
        <f>VLOOKUP(C19,Active!C$21:E$973,3,FALSE)</f>
        <v>11250.004307461637</v>
      </c>
      <c r="F19" s="15" t="s">
        <v>65</v>
      </c>
      <c r="G19" s="12" t="str">
        <f t="shared" si="4"/>
        <v>47092.324</v>
      </c>
      <c r="H19" s="29">
        <f t="shared" si="5"/>
        <v>-5177</v>
      </c>
      <c r="I19" s="51" t="s">
        <v>180</v>
      </c>
      <c r="J19" s="52" t="s">
        <v>181</v>
      </c>
      <c r="K19" s="51">
        <v>-5177</v>
      </c>
      <c r="L19" s="51" t="s">
        <v>182</v>
      </c>
      <c r="M19" s="52" t="s">
        <v>71</v>
      </c>
      <c r="N19" s="52"/>
      <c r="O19" s="53" t="s">
        <v>183</v>
      </c>
      <c r="P19" s="53" t="s">
        <v>184</v>
      </c>
    </row>
    <row r="20" spans="1:16" ht="12.75" customHeight="1" thickBot="1" x14ac:dyDescent="0.25">
      <c r="A20" s="29" t="str">
        <f t="shared" si="0"/>
        <v>IBVS 5843 </v>
      </c>
      <c r="B20" s="15" t="str">
        <f t="shared" si="1"/>
        <v>I</v>
      </c>
      <c r="C20" s="29">
        <f t="shared" si="2"/>
        <v>53250.816700000003</v>
      </c>
      <c r="D20" s="12" t="str">
        <f t="shared" si="3"/>
        <v>vis</v>
      </c>
      <c r="E20" s="50">
        <f>VLOOKUP(C20,Active!C$21:E$973,3,FALSE)</f>
        <v>17144.997869242317</v>
      </c>
      <c r="F20" s="15" t="s">
        <v>65</v>
      </c>
      <c r="G20" s="12" t="str">
        <f t="shared" si="4"/>
        <v>53250.8167</v>
      </c>
      <c r="H20" s="29">
        <f t="shared" si="5"/>
        <v>718</v>
      </c>
      <c r="I20" s="51" t="s">
        <v>201</v>
      </c>
      <c r="J20" s="52" t="s">
        <v>202</v>
      </c>
      <c r="K20" s="51">
        <v>718</v>
      </c>
      <c r="L20" s="51" t="s">
        <v>203</v>
      </c>
      <c r="M20" s="52" t="s">
        <v>187</v>
      </c>
      <c r="N20" s="52" t="s">
        <v>204</v>
      </c>
      <c r="O20" s="53" t="s">
        <v>205</v>
      </c>
      <c r="P20" s="54" t="s">
        <v>206</v>
      </c>
    </row>
    <row r="21" spans="1:16" ht="12.75" customHeight="1" thickBot="1" x14ac:dyDescent="0.25">
      <c r="A21" s="29" t="str">
        <f t="shared" si="0"/>
        <v>IBVS 5843 </v>
      </c>
      <c r="B21" s="15" t="str">
        <f t="shared" si="1"/>
        <v>I</v>
      </c>
      <c r="C21" s="29">
        <f t="shared" si="2"/>
        <v>53251.853999999999</v>
      </c>
      <c r="D21" s="12" t="str">
        <f t="shared" si="3"/>
        <v>vis</v>
      </c>
      <c r="E21" s="50">
        <f>VLOOKUP(C21,Active!C$21:E$973,3,FALSE)</f>
        <v>17145.990787009618</v>
      </c>
      <c r="F21" s="15" t="s">
        <v>65</v>
      </c>
      <c r="G21" s="12" t="str">
        <f t="shared" si="4"/>
        <v>53251.8540</v>
      </c>
      <c r="H21" s="29">
        <f t="shared" si="5"/>
        <v>719</v>
      </c>
      <c r="I21" s="51" t="s">
        <v>207</v>
      </c>
      <c r="J21" s="52" t="s">
        <v>208</v>
      </c>
      <c r="K21" s="51" t="s">
        <v>209</v>
      </c>
      <c r="L21" s="51" t="s">
        <v>210</v>
      </c>
      <c r="M21" s="52" t="s">
        <v>187</v>
      </c>
      <c r="N21" s="52" t="s">
        <v>204</v>
      </c>
      <c r="O21" s="53" t="s">
        <v>205</v>
      </c>
      <c r="P21" s="54" t="s">
        <v>206</v>
      </c>
    </row>
    <row r="22" spans="1:16" ht="12.75" customHeight="1" thickBot="1" x14ac:dyDescent="0.25">
      <c r="A22" s="29" t="str">
        <f t="shared" si="0"/>
        <v>BAVM 174 </v>
      </c>
      <c r="B22" s="15" t="str">
        <f t="shared" si="1"/>
        <v>I</v>
      </c>
      <c r="C22" s="29">
        <f t="shared" si="2"/>
        <v>53265.43</v>
      </c>
      <c r="D22" s="12" t="str">
        <f t="shared" si="3"/>
        <v>vis</v>
      </c>
      <c r="E22" s="50">
        <f>VLOOKUP(C22,Active!C$21:E$973,3,FALSE)</f>
        <v>17158.9859201523</v>
      </c>
      <c r="F22" s="15" t="s">
        <v>65</v>
      </c>
      <c r="G22" s="12" t="str">
        <f t="shared" si="4"/>
        <v>53265.430</v>
      </c>
      <c r="H22" s="29">
        <f t="shared" si="5"/>
        <v>732</v>
      </c>
      <c r="I22" s="51" t="s">
        <v>211</v>
      </c>
      <c r="J22" s="52" t="s">
        <v>212</v>
      </c>
      <c r="K22" s="51" t="s">
        <v>213</v>
      </c>
      <c r="L22" s="51" t="s">
        <v>66</v>
      </c>
      <c r="M22" s="52" t="s">
        <v>71</v>
      </c>
      <c r="N22" s="52"/>
      <c r="O22" s="53" t="s">
        <v>199</v>
      </c>
      <c r="P22" s="54" t="s">
        <v>214</v>
      </c>
    </row>
    <row r="23" spans="1:16" ht="12.75" customHeight="1" thickBot="1" x14ac:dyDescent="0.25">
      <c r="A23" s="29" t="str">
        <f t="shared" si="0"/>
        <v>IBVS 5843 </v>
      </c>
      <c r="B23" s="15" t="str">
        <f t="shared" si="1"/>
        <v>I</v>
      </c>
      <c r="C23" s="29">
        <f t="shared" si="2"/>
        <v>53974.785400000001</v>
      </c>
      <c r="D23" s="12" t="str">
        <f t="shared" si="3"/>
        <v>vis</v>
      </c>
      <c r="E23" s="50">
        <f>VLOOKUP(C23,Active!C$21:E$973,3,FALSE)</f>
        <v>17837.990624666174</v>
      </c>
      <c r="F23" s="15" t="s">
        <v>65</v>
      </c>
      <c r="G23" s="12" t="str">
        <f t="shared" si="4"/>
        <v>53974.7854</v>
      </c>
      <c r="H23" s="29">
        <f t="shared" si="5"/>
        <v>1411</v>
      </c>
      <c r="I23" s="51" t="s">
        <v>215</v>
      </c>
      <c r="J23" s="52" t="s">
        <v>216</v>
      </c>
      <c r="K23" s="51" t="s">
        <v>217</v>
      </c>
      <c r="L23" s="51" t="s">
        <v>218</v>
      </c>
      <c r="M23" s="52" t="s">
        <v>187</v>
      </c>
      <c r="N23" s="52" t="s">
        <v>204</v>
      </c>
      <c r="O23" s="53" t="s">
        <v>205</v>
      </c>
      <c r="P23" s="54" t="s">
        <v>206</v>
      </c>
    </row>
    <row r="24" spans="1:16" ht="12.75" customHeight="1" thickBot="1" x14ac:dyDescent="0.25">
      <c r="A24" s="29" t="str">
        <f t="shared" si="0"/>
        <v>IBVS 6007 </v>
      </c>
      <c r="B24" s="15" t="str">
        <f t="shared" si="1"/>
        <v>I</v>
      </c>
      <c r="C24" s="29">
        <f t="shared" si="2"/>
        <v>55052.917840000002</v>
      </c>
      <c r="D24" s="12" t="str">
        <f t="shared" si="3"/>
        <v>vis</v>
      </c>
      <c r="E24" s="50">
        <f>VLOOKUP(C24,Active!C$21:E$973,3,FALSE)</f>
        <v>18869.993762795559</v>
      </c>
      <c r="F24" s="15" t="s">
        <v>65</v>
      </c>
      <c r="G24" s="12" t="str">
        <f t="shared" si="4"/>
        <v>55052.91784</v>
      </c>
      <c r="H24" s="29">
        <f t="shared" si="5"/>
        <v>2443</v>
      </c>
      <c r="I24" s="51" t="s">
        <v>219</v>
      </c>
      <c r="J24" s="52" t="s">
        <v>220</v>
      </c>
      <c r="K24" s="51" t="s">
        <v>221</v>
      </c>
      <c r="L24" s="51" t="s">
        <v>222</v>
      </c>
      <c r="M24" s="52" t="s">
        <v>187</v>
      </c>
      <c r="N24" s="52" t="s">
        <v>65</v>
      </c>
      <c r="O24" s="53" t="s">
        <v>223</v>
      </c>
      <c r="P24" s="54" t="s">
        <v>224</v>
      </c>
    </row>
    <row r="25" spans="1:16" ht="12.75" customHeight="1" thickBot="1" x14ac:dyDescent="0.25">
      <c r="A25" s="29" t="str">
        <f t="shared" si="0"/>
        <v>IBVS 6011 </v>
      </c>
      <c r="B25" s="15" t="str">
        <f t="shared" si="1"/>
        <v>I</v>
      </c>
      <c r="C25" s="29">
        <f t="shared" si="2"/>
        <v>55866.735999999997</v>
      </c>
      <c r="D25" s="12" t="str">
        <f t="shared" si="3"/>
        <v>vis</v>
      </c>
      <c r="E25" s="50">
        <f>VLOOKUP(C25,Active!C$21:E$973,3,FALSE)</f>
        <v>19648.991651947912</v>
      </c>
      <c r="F25" s="15" t="s">
        <v>65</v>
      </c>
      <c r="G25" s="12" t="str">
        <f t="shared" si="4"/>
        <v>55866.7360</v>
      </c>
      <c r="H25" s="29">
        <f t="shared" si="5"/>
        <v>3222</v>
      </c>
      <c r="I25" s="51" t="s">
        <v>231</v>
      </c>
      <c r="J25" s="52" t="s">
        <v>232</v>
      </c>
      <c r="K25" s="51" t="s">
        <v>233</v>
      </c>
      <c r="L25" s="51" t="s">
        <v>234</v>
      </c>
      <c r="M25" s="52" t="s">
        <v>187</v>
      </c>
      <c r="N25" s="52" t="s">
        <v>65</v>
      </c>
      <c r="O25" s="53" t="s">
        <v>235</v>
      </c>
      <c r="P25" s="54" t="s">
        <v>236</v>
      </c>
    </row>
    <row r="26" spans="1:16" ht="12.75" customHeight="1" thickBot="1" x14ac:dyDescent="0.25">
      <c r="A26" s="29" t="str">
        <f t="shared" si="0"/>
        <v>IBVS 6114 </v>
      </c>
      <c r="B26" s="15" t="str">
        <f t="shared" si="1"/>
        <v>I</v>
      </c>
      <c r="C26" s="29">
        <f t="shared" si="2"/>
        <v>56163.424249999996</v>
      </c>
      <c r="D26" s="12" t="str">
        <f t="shared" si="3"/>
        <v>vis</v>
      </c>
      <c r="E26" s="50">
        <f>VLOOKUP(C26,Active!C$21:E$973,3,FALSE)</f>
        <v>19932.985708416625</v>
      </c>
      <c r="F26" s="15" t="s">
        <v>65</v>
      </c>
      <c r="G26" s="12" t="str">
        <f t="shared" si="4"/>
        <v>56163.42425</v>
      </c>
      <c r="H26" s="29">
        <f t="shared" si="5"/>
        <v>3506</v>
      </c>
      <c r="I26" s="51" t="s">
        <v>237</v>
      </c>
      <c r="J26" s="52" t="s">
        <v>238</v>
      </c>
      <c r="K26" s="51" t="s">
        <v>239</v>
      </c>
      <c r="L26" s="51" t="s">
        <v>240</v>
      </c>
      <c r="M26" s="52" t="s">
        <v>187</v>
      </c>
      <c r="N26" s="52" t="s">
        <v>57</v>
      </c>
      <c r="O26" s="53" t="s">
        <v>241</v>
      </c>
      <c r="P26" s="54" t="s">
        <v>242</v>
      </c>
    </row>
    <row r="27" spans="1:16" ht="12.75" customHeight="1" thickBot="1" x14ac:dyDescent="0.25">
      <c r="A27" s="29" t="str">
        <f t="shared" si="0"/>
        <v>IBVS 6114 </v>
      </c>
      <c r="B27" s="15" t="str">
        <f t="shared" si="1"/>
        <v>I</v>
      </c>
      <c r="C27" s="29">
        <f t="shared" si="2"/>
        <v>56209.392480000002</v>
      </c>
      <c r="D27" s="12" t="str">
        <f t="shared" si="3"/>
        <v>vis</v>
      </c>
      <c r="E27" s="50">
        <f>VLOOKUP(C27,Active!C$21:E$973,3,FALSE)</f>
        <v>19976.9871277731</v>
      </c>
      <c r="F27" s="15" t="s">
        <v>65</v>
      </c>
      <c r="G27" s="12" t="str">
        <f t="shared" si="4"/>
        <v>56209.39248</v>
      </c>
      <c r="H27" s="29">
        <f t="shared" si="5"/>
        <v>3550</v>
      </c>
      <c r="I27" s="51" t="s">
        <v>243</v>
      </c>
      <c r="J27" s="52" t="s">
        <v>244</v>
      </c>
      <c r="K27" s="51" t="s">
        <v>245</v>
      </c>
      <c r="L27" s="51" t="s">
        <v>246</v>
      </c>
      <c r="M27" s="52" t="s">
        <v>187</v>
      </c>
      <c r="N27" s="52" t="s">
        <v>247</v>
      </c>
      <c r="O27" s="53" t="s">
        <v>241</v>
      </c>
      <c r="P27" s="54" t="s">
        <v>242</v>
      </c>
    </row>
    <row r="28" spans="1:16" ht="12.75" customHeight="1" thickBot="1" x14ac:dyDescent="0.25">
      <c r="A28" s="29" t="str">
        <f t="shared" si="0"/>
        <v>IBVS 6114 </v>
      </c>
      <c r="B28" s="15" t="str">
        <f t="shared" si="1"/>
        <v>I</v>
      </c>
      <c r="C28" s="29">
        <f t="shared" si="2"/>
        <v>56889.489450000001</v>
      </c>
      <c r="D28" s="12" t="str">
        <f t="shared" si="3"/>
        <v>vis</v>
      </c>
      <c r="E28" s="50">
        <f>VLOOKUP(C28,Active!C$21:E$973,3,FALSE)</f>
        <v>20627.985262355047</v>
      </c>
      <c r="F28" s="15" t="s">
        <v>65</v>
      </c>
      <c r="G28" s="12" t="str">
        <f t="shared" si="4"/>
        <v>56889.48945</v>
      </c>
      <c r="H28" s="29">
        <f t="shared" si="5"/>
        <v>4201</v>
      </c>
      <c r="I28" s="51" t="s">
        <v>248</v>
      </c>
      <c r="J28" s="52" t="s">
        <v>249</v>
      </c>
      <c r="K28" s="51" t="s">
        <v>250</v>
      </c>
      <c r="L28" s="51" t="s">
        <v>251</v>
      </c>
      <c r="M28" s="52" t="s">
        <v>187</v>
      </c>
      <c r="N28" s="52" t="s">
        <v>247</v>
      </c>
      <c r="O28" s="53" t="s">
        <v>241</v>
      </c>
      <c r="P28" s="54" t="s">
        <v>242</v>
      </c>
    </row>
    <row r="29" spans="1:16" ht="12.75" customHeight="1" thickBot="1" x14ac:dyDescent="0.25">
      <c r="A29" s="29" t="str">
        <f t="shared" si="0"/>
        <v> AN 202.245 </v>
      </c>
      <c r="B29" s="15" t="str">
        <f t="shared" si="1"/>
        <v>I</v>
      </c>
      <c r="C29" s="29">
        <f t="shared" si="2"/>
        <v>19282.41</v>
      </c>
      <c r="D29" s="12" t="str">
        <f t="shared" si="3"/>
        <v>vis</v>
      </c>
      <c r="E29" s="50">
        <f>VLOOKUP(C29,Active!C$21:E$973,3,FALSE)</f>
        <v>-15370.026269772685</v>
      </c>
      <c r="F29" s="15" t="s">
        <v>65</v>
      </c>
      <c r="G29" s="12" t="str">
        <f t="shared" si="4"/>
        <v>19282.41</v>
      </c>
      <c r="H29" s="29">
        <f t="shared" si="5"/>
        <v>-31797</v>
      </c>
      <c r="I29" s="51" t="s">
        <v>68</v>
      </c>
      <c r="J29" s="52" t="s">
        <v>69</v>
      </c>
      <c r="K29" s="51">
        <v>-31797</v>
      </c>
      <c r="L29" s="51" t="s">
        <v>70</v>
      </c>
      <c r="M29" s="52" t="s">
        <v>71</v>
      </c>
      <c r="N29" s="52"/>
      <c r="O29" s="53" t="s">
        <v>72</v>
      </c>
      <c r="P29" s="53" t="s">
        <v>73</v>
      </c>
    </row>
    <row r="30" spans="1:16" ht="12.75" customHeight="1" thickBot="1" x14ac:dyDescent="0.25">
      <c r="A30" s="29" t="str">
        <f t="shared" si="0"/>
        <v> AN 242.211 </v>
      </c>
      <c r="B30" s="15" t="str">
        <f t="shared" si="1"/>
        <v>I</v>
      </c>
      <c r="C30" s="29">
        <f t="shared" si="2"/>
        <v>19305.491999999998</v>
      </c>
      <c r="D30" s="12" t="str">
        <f t="shared" si="3"/>
        <v>vis</v>
      </c>
      <c r="E30" s="50">
        <f>VLOOKUP(C30,Active!C$21:E$973,3,FALSE)</f>
        <v>-15347.931863231777</v>
      </c>
      <c r="F30" s="15" t="s">
        <v>65</v>
      </c>
      <c r="G30" s="12" t="str">
        <f t="shared" si="4"/>
        <v>19305.492</v>
      </c>
      <c r="H30" s="29">
        <f t="shared" si="5"/>
        <v>-31775</v>
      </c>
      <c r="I30" s="51" t="s">
        <v>74</v>
      </c>
      <c r="J30" s="52" t="s">
        <v>75</v>
      </c>
      <c r="K30" s="51">
        <v>-31775</v>
      </c>
      <c r="L30" s="51" t="s">
        <v>76</v>
      </c>
      <c r="M30" s="52" t="s">
        <v>71</v>
      </c>
      <c r="N30" s="52"/>
      <c r="O30" s="53" t="s">
        <v>72</v>
      </c>
      <c r="P30" s="53" t="s">
        <v>77</v>
      </c>
    </row>
    <row r="31" spans="1:16" ht="12.75" customHeight="1" thickBot="1" x14ac:dyDescent="0.25">
      <c r="A31" s="29" t="str">
        <f t="shared" si="0"/>
        <v> AN 202.245 </v>
      </c>
      <c r="B31" s="15" t="str">
        <f t="shared" si="1"/>
        <v>I</v>
      </c>
      <c r="C31" s="29">
        <f t="shared" si="2"/>
        <v>19632.41</v>
      </c>
      <c r="D31" s="12" t="str">
        <f t="shared" si="3"/>
        <v>vis</v>
      </c>
      <c r="E31" s="50">
        <f>VLOOKUP(C31,Active!C$21:E$973,3,FALSE)</f>
        <v>-15035.001476023519</v>
      </c>
      <c r="F31" s="15" t="s">
        <v>65</v>
      </c>
      <c r="G31" s="12" t="str">
        <f t="shared" si="4"/>
        <v>19632.41</v>
      </c>
      <c r="H31" s="29">
        <f t="shared" si="5"/>
        <v>-31462</v>
      </c>
      <c r="I31" s="51" t="s">
        <v>78</v>
      </c>
      <c r="J31" s="52" t="s">
        <v>79</v>
      </c>
      <c r="K31" s="51">
        <v>-31462</v>
      </c>
      <c r="L31" s="51" t="s">
        <v>80</v>
      </c>
      <c r="M31" s="52" t="s">
        <v>71</v>
      </c>
      <c r="N31" s="52"/>
      <c r="O31" s="53" t="s">
        <v>72</v>
      </c>
      <c r="P31" s="53" t="s">
        <v>73</v>
      </c>
    </row>
    <row r="32" spans="1:16" ht="12.75" customHeight="1" thickBot="1" x14ac:dyDescent="0.25">
      <c r="A32" s="29" t="str">
        <f t="shared" si="0"/>
        <v> AN 202.245 </v>
      </c>
      <c r="B32" s="15" t="str">
        <f t="shared" si="1"/>
        <v>I</v>
      </c>
      <c r="C32" s="29">
        <f t="shared" si="2"/>
        <v>19655.419999999998</v>
      </c>
      <c r="D32" s="12" t="str">
        <f t="shared" si="3"/>
        <v>vis</v>
      </c>
      <c r="E32" s="50">
        <f>VLOOKUP(C32,Active!C$21:E$973,3,FALSE)</f>
        <v>-15012.975988868755</v>
      </c>
      <c r="F32" s="15" t="s">
        <v>65</v>
      </c>
      <c r="G32" s="12" t="str">
        <f t="shared" si="4"/>
        <v>19655.42</v>
      </c>
      <c r="H32" s="29">
        <f t="shared" si="5"/>
        <v>-31440</v>
      </c>
      <c r="I32" s="51" t="s">
        <v>81</v>
      </c>
      <c r="J32" s="52" t="s">
        <v>82</v>
      </c>
      <c r="K32" s="51">
        <v>-31440</v>
      </c>
      <c r="L32" s="51" t="s">
        <v>83</v>
      </c>
      <c r="M32" s="52" t="s">
        <v>71</v>
      </c>
      <c r="N32" s="52"/>
      <c r="O32" s="53" t="s">
        <v>72</v>
      </c>
      <c r="P32" s="53" t="s">
        <v>73</v>
      </c>
    </row>
    <row r="33" spans="1:16" ht="12.75" customHeight="1" thickBot="1" x14ac:dyDescent="0.25">
      <c r="A33" s="29" t="str">
        <f t="shared" si="0"/>
        <v> AN 202.245 </v>
      </c>
      <c r="B33" s="15" t="str">
        <f t="shared" si="1"/>
        <v>I</v>
      </c>
      <c r="C33" s="29">
        <f t="shared" si="2"/>
        <v>19702.41</v>
      </c>
      <c r="D33" s="12" t="str">
        <f t="shared" si="3"/>
        <v>vis</v>
      </c>
      <c r="E33" s="50">
        <f>VLOOKUP(C33,Active!C$21:E$973,3,FALSE)</f>
        <v>-14967.996517273687</v>
      </c>
      <c r="F33" s="15" t="s">
        <v>65</v>
      </c>
      <c r="G33" s="12" t="str">
        <f t="shared" si="4"/>
        <v>19702.41</v>
      </c>
      <c r="H33" s="29">
        <f t="shared" si="5"/>
        <v>-31395</v>
      </c>
      <c r="I33" s="51" t="s">
        <v>84</v>
      </c>
      <c r="J33" s="52" t="s">
        <v>85</v>
      </c>
      <c r="K33" s="51">
        <v>-31395</v>
      </c>
      <c r="L33" s="51" t="s">
        <v>80</v>
      </c>
      <c r="M33" s="52" t="s">
        <v>71</v>
      </c>
      <c r="N33" s="52"/>
      <c r="O33" s="53" t="s">
        <v>72</v>
      </c>
      <c r="P33" s="53" t="s">
        <v>73</v>
      </c>
    </row>
    <row r="34" spans="1:16" ht="12.75" customHeight="1" thickBot="1" x14ac:dyDescent="0.25">
      <c r="A34" s="29" t="str">
        <f t="shared" si="0"/>
        <v> AN 242.211 </v>
      </c>
      <c r="B34" s="15" t="str">
        <f t="shared" si="1"/>
        <v>I</v>
      </c>
      <c r="C34" s="29">
        <f t="shared" si="2"/>
        <v>19707.648000000001</v>
      </c>
      <c r="D34" s="12" t="str">
        <f t="shared" si="3"/>
        <v>vis</v>
      </c>
      <c r="E34" s="50">
        <f>VLOOKUP(C34,Active!C$21:E$973,3,FALSE)</f>
        <v>-14962.982631931805</v>
      </c>
      <c r="F34" s="15" t="s">
        <v>65</v>
      </c>
      <c r="G34" s="12" t="str">
        <f t="shared" si="4"/>
        <v>19707.648</v>
      </c>
      <c r="H34" s="29">
        <f t="shared" si="5"/>
        <v>-31390</v>
      </c>
      <c r="I34" s="51" t="s">
        <v>86</v>
      </c>
      <c r="J34" s="52" t="s">
        <v>87</v>
      </c>
      <c r="K34" s="51">
        <v>-31390</v>
      </c>
      <c r="L34" s="51" t="s">
        <v>88</v>
      </c>
      <c r="M34" s="52" t="s">
        <v>71</v>
      </c>
      <c r="N34" s="52"/>
      <c r="O34" s="53" t="s">
        <v>72</v>
      </c>
      <c r="P34" s="53" t="s">
        <v>77</v>
      </c>
    </row>
    <row r="35" spans="1:16" ht="12.75" customHeight="1" thickBot="1" x14ac:dyDescent="0.25">
      <c r="A35" s="29" t="str">
        <f t="shared" si="0"/>
        <v> AN 202.245 </v>
      </c>
      <c r="B35" s="15" t="str">
        <f t="shared" si="1"/>
        <v>I</v>
      </c>
      <c r="C35" s="29">
        <f t="shared" si="2"/>
        <v>19745.259999999998</v>
      </c>
      <c r="D35" s="12" t="str">
        <f t="shared" si="3"/>
        <v>vis</v>
      </c>
      <c r="E35" s="50">
        <f>VLOOKUP(C35,Active!C$21:E$973,3,FALSE)</f>
        <v>-14926.979910381826</v>
      </c>
      <c r="F35" s="15" t="s">
        <v>65</v>
      </c>
      <c r="G35" s="12" t="str">
        <f t="shared" si="4"/>
        <v>19745.26</v>
      </c>
      <c r="H35" s="29">
        <f t="shared" si="5"/>
        <v>-31354</v>
      </c>
      <c r="I35" s="51" t="s">
        <v>89</v>
      </c>
      <c r="J35" s="52" t="s">
        <v>90</v>
      </c>
      <c r="K35" s="51">
        <v>-31354</v>
      </c>
      <c r="L35" s="51" t="s">
        <v>83</v>
      </c>
      <c r="M35" s="52" t="s">
        <v>71</v>
      </c>
      <c r="N35" s="52"/>
      <c r="O35" s="53" t="s">
        <v>72</v>
      </c>
      <c r="P35" s="53" t="s">
        <v>73</v>
      </c>
    </row>
    <row r="36" spans="1:16" ht="12.75" customHeight="1" thickBot="1" x14ac:dyDescent="0.25">
      <c r="A36" s="29" t="str">
        <f t="shared" si="0"/>
        <v> AN 242.211 </v>
      </c>
      <c r="B36" s="15" t="str">
        <f t="shared" si="1"/>
        <v>I</v>
      </c>
      <c r="C36" s="29">
        <f t="shared" si="2"/>
        <v>20063.883999999998</v>
      </c>
      <c r="D36" s="12" t="str">
        <f t="shared" si="3"/>
        <v>vis</v>
      </c>
      <c r="E36" s="50">
        <f>VLOOKUP(C36,Active!C$21:E$973,3,FALSE)</f>
        <v>-14621.988653571729</v>
      </c>
      <c r="F36" s="15" t="s">
        <v>65</v>
      </c>
      <c r="G36" s="12" t="str">
        <f t="shared" si="4"/>
        <v>20063.884</v>
      </c>
      <c r="H36" s="29">
        <f t="shared" si="5"/>
        <v>-31049</v>
      </c>
      <c r="I36" s="51" t="s">
        <v>91</v>
      </c>
      <c r="J36" s="52" t="s">
        <v>92</v>
      </c>
      <c r="K36" s="51">
        <v>-31049</v>
      </c>
      <c r="L36" s="51" t="s">
        <v>93</v>
      </c>
      <c r="M36" s="52" t="s">
        <v>71</v>
      </c>
      <c r="N36" s="52"/>
      <c r="O36" s="53" t="s">
        <v>72</v>
      </c>
      <c r="P36" s="53" t="s">
        <v>77</v>
      </c>
    </row>
    <row r="37" spans="1:16" ht="12.75" customHeight="1" thickBot="1" x14ac:dyDescent="0.25">
      <c r="A37" s="29" t="str">
        <f t="shared" si="0"/>
        <v> AN 202.245 </v>
      </c>
      <c r="B37" s="15" t="str">
        <f t="shared" si="1"/>
        <v>I</v>
      </c>
      <c r="C37" s="29">
        <f t="shared" si="2"/>
        <v>20072.23</v>
      </c>
      <c r="D37" s="12" t="str">
        <f t="shared" si="3"/>
        <v>vis</v>
      </c>
      <c r="E37" s="50">
        <f>VLOOKUP(C37,Active!C$21:E$973,3,FALSE)</f>
        <v>-14613.999748061355</v>
      </c>
      <c r="F37" s="15" t="s">
        <v>65</v>
      </c>
      <c r="G37" s="12" t="str">
        <f t="shared" si="4"/>
        <v>20072.23</v>
      </c>
      <c r="H37" s="29">
        <f t="shared" si="5"/>
        <v>-31041</v>
      </c>
      <c r="I37" s="51" t="s">
        <v>94</v>
      </c>
      <c r="J37" s="52" t="s">
        <v>95</v>
      </c>
      <c r="K37" s="51">
        <v>-31041</v>
      </c>
      <c r="L37" s="51" t="s">
        <v>80</v>
      </c>
      <c r="M37" s="52" t="s">
        <v>71</v>
      </c>
      <c r="N37" s="52"/>
      <c r="O37" s="53" t="s">
        <v>72</v>
      </c>
      <c r="P37" s="53" t="s">
        <v>73</v>
      </c>
    </row>
    <row r="38" spans="1:16" ht="12.75" customHeight="1" thickBot="1" x14ac:dyDescent="0.25">
      <c r="A38" s="29" t="str">
        <f t="shared" si="0"/>
        <v> AN 228.72 </v>
      </c>
      <c r="B38" s="15" t="str">
        <f t="shared" si="1"/>
        <v>I</v>
      </c>
      <c r="C38" s="29">
        <f t="shared" si="2"/>
        <v>24004.48</v>
      </c>
      <c r="D38" s="12" t="str">
        <f t="shared" si="3"/>
        <v>vis</v>
      </c>
      <c r="E38" s="50">
        <f>VLOOKUP(C38,Active!C$21:E$973,3,FALSE)</f>
        <v>-10849.996190289488</v>
      </c>
      <c r="F38" s="15" t="s">
        <v>65</v>
      </c>
      <c r="G38" s="12" t="str">
        <f t="shared" si="4"/>
        <v>24004.48</v>
      </c>
      <c r="H38" s="29">
        <f t="shared" si="5"/>
        <v>-27277</v>
      </c>
      <c r="I38" s="51" t="s">
        <v>96</v>
      </c>
      <c r="J38" s="52" t="s">
        <v>97</v>
      </c>
      <c r="K38" s="51">
        <v>-27277</v>
      </c>
      <c r="L38" s="51" t="s">
        <v>98</v>
      </c>
      <c r="M38" s="52" t="s">
        <v>71</v>
      </c>
      <c r="N38" s="52"/>
      <c r="O38" s="53" t="s">
        <v>99</v>
      </c>
      <c r="P38" s="53" t="s">
        <v>100</v>
      </c>
    </row>
    <row r="39" spans="1:16" ht="12.75" customHeight="1" thickBot="1" x14ac:dyDescent="0.25">
      <c r="A39" s="29" t="str">
        <f t="shared" si="0"/>
        <v> IODE 4.1.46 </v>
      </c>
      <c r="B39" s="15" t="str">
        <f t="shared" si="1"/>
        <v>I</v>
      </c>
      <c r="C39" s="29">
        <f t="shared" si="2"/>
        <v>24036.86</v>
      </c>
      <c r="D39" s="12" t="str">
        <f t="shared" si="3"/>
        <v>vis</v>
      </c>
      <c r="E39" s="50">
        <f>VLOOKUP(C39,Active!C$21:E$973,3,FALSE)</f>
        <v>-10819.001610799207</v>
      </c>
      <c r="F39" s="15" t="s">
        <v>65</v>
      </c>
      <c r="G39" s="12" t="str">
        <f t="shared" si="4"/>
        <v>24036.860</v>
      </c>
      <c r="H39" s="29">
        <f t="shared" si="5"/>
        <v>-27246</v>
      </c>
      <c r="I39" s="51" t="s">
        <v>101</v>
      </c>
      <c r="J39" s="52" t="s">
        <v>102</v>
      </c>
      <c r="K39" s="51">
        <v>-27246</v>
      </c>
      <c r="L39" s="51" t="s">
        <v>103</v>
      </c>
      <c r="M39" s="52" t="s">
        <v>71</v>
      </c>
      <c r="N39" s="52"/>
      <c r="O39" s="53" t="s">
        <v>104</v>
      </c>
      <c r="P39" s="53" t="s">
        <v>105</v>
      </c>
    </row>
    <row r="40" spans="1:16" ht="12.75" customHeight="1" thickBot="1" x14ac:dyDescent="0.25">
      <c r="A40" s="29" t="str">
        <f t="shared" si="0"/>
        <v> AN 229.284 </v>
      </c>
      <c r="B40" s="15" t="str">
        <f t="shared" si="1"/>
        <v>I</v>
      </c>
      <c r="C40" s="29">
        <f t="shared" si="2"/>
        <v>24794.26</v>
      </c>
      <c r="D40" s="12" t="str">
        <f t="shared" si="3"/>
        <v>vis</v>
      </c>
      <c r="E40" s="50">
        <f>VLOOKUP(C40,Active!C$21:E$973,3,FALSE)</f>
        <v>-10094.007957126016</v>
      </c>
      <c r="F40" s="15" t="s">
        <v>65</v>
      </c>
      <c r="G40" s="12" t="str">
        <f t="shared" si="4"/>
        <v>24794.260</v>
      </c>
      <c r="H40" s="29">
        <f t="shared" si="5"/>
        <v>-26521</v>
      </c>
      <c r="I40" s="51" t="s">
        <v>106</v>
      </c>
      <c r="J40" s="52" t="s">
        <v>107</v>
      </c>
      <c r="K40" s="51">
        <v>-26521</v>
      </c>
      <c r="L40" s="51" t="s">
        <v>108</v>
      </c>
      <c r="M40" s="52" t="s">
        <v>71</v>
      </c>
      <c r="N40" s="52"/>
      <c r="O40" s="53" t="s">
        <v>109</v>
      </c>
      <c r="P40" s="53" t="s">
        <v>110</v>
      </c>
    </row>
    <row r="41" spans="1:16" ht="12.75" customHeight="1" thickBot="1" x14ac:dyDescent="0.25">
      <c r="A41" s="29" t="str">
        <f t="shared" si="0"/>
        <v> CPRI 25.21 </v>
      </c>
      <c r="B41" s="15" t="str">
        <f t="shared" si="1"/>
        <v>I</v>
      </c>
      <c r="C41" s="29">
        <f t="shared" si="2"/>
        <v>26272.522000000001</v>
      </c>
      <c r="D41" s="12" t="str">
        <f t="shared" si="3"/>
        <v>vis</v>
      </c>
      <c r="E41" s="50">
        <f>VLOOKUP(C41,Active!C$21:E$973,3,FALSE)</f>
        <v>-8678.9953238196485</v>
      </c>
      <c r="F41" s="15" t="s">
        <v>65</v>
      </c>
      <c r="G41" s="12" t="str">
        <f t="shared" si="4"/>
        <v>26272.522</v>
      </c>
      <c r="H41" s="29">
        <f t="shared" si="5"/>
        <v>-25106</v>
      </c>
      <c r="I41" s="51" t="s">
        <v>111</v>
      </c>
      <c r="J41" s="52" t="s">
        <v>112</v>
      </c>
      <c r="K41" s="51">
        <v>-25106</v>
      </c>
      <c r="L41" s="51" t="s">
        <v>113</v>
      </c>
      <c r="M41" s="52" t="s">
        <v>71</v>
      </c>
      <c r="N41" s="52"/>
      <c r="O41" s="53" t="s">
        <v>114</v>
      </c>
      <c r="P41" s="53" t="s">
        <v>115</v>
      </c>
    </row>
    <row r="42" spans="1:16" ht="12.75" customHeight="1" thickBot="1" x14ac:dyDescent="0.25">
      <c r="A42" s="29" t="str">
        <f t="shared" si="0"/>
        <v> IODE 4.1.46 </v>
      </c>
      <c r="B42" s="15" t="str">
        <f t="shared" si="1"/>
        <v>I</v>
      </c>
      <c r="C42" s="29">
        <f t="shared" si="2"/>
        <v>26573.393</v>
      </c>
      <c r="D42" s="12" t="str">
        <f t="shared" si="3"/>
        <v>vis</v>
      </c>
      <c r="E42" s="50">
        <f>VLOOKUP(C42,Active!C$21:E$973,3,FALSE)</f>
        <v>-8390.997481762206</v>
      </c>
      <c r="F42" s="15" t="s">
        <v>65</v>
      </c>
      <c r="G42" s="12" t="str">
        <f t="shared" si="4"/>
        <v>26573.393</v>
      </c>
      <c r="H42" s="29">
        <f t="shared" si="5"/>
        <v>-24818</v>
      </c>
      <c r="I42" s="51" t="s">
        <v>116</v>
      </c>
      <c r="J42" s="52" t="s">
        <v>117</v>
      </c>
      <c r="K42" s="51">
        <v>-24818</v>
      </c>
      <c r="L42" s="51" t="s">
        <v>118</v>
      </c>
      <c r="M42" s="52" t="s">
        <v>71</v>
      </c>
      <c r="N42" s="52"/>
      <c r="O42" s="53" t="s">
        <v>104</v>
      </c>
      <c r="P42" s="53" t="s">
        <v>105</v>
      </c>
    </row>
    <row r="43" spans="1:16" ht="12.75" customHeight="1" thickBot="1" x14ac:dyDescent="0.25">
      <c r="A43" s="29" t="str">
        <f t="shared" si="0"/>
        <v> CPRI 25.21 </v>
      </c>
      <c r="B43" s="15" t="str">
        <f t="shared" si="1"/>
        <v>I</v>
      </c>
      <c r="C43" s="29">
        <f t="shared" si="2"/>
        <v>26624.587</v>
      </c>
      <c r="D43" s="12" t="str">
        <f t="shared" si="3"/>
        <v>vis</v>
      </c>
      <c r="E43" s="50">
        <f>VLOOKUP(C43,Active!C$21:E$973,3,FALSE)</f>
        <v>-8341.9938837873651</v>
      </c>
      <c r="F43" s="15" t="s">
        <v>65</v>
      </c>
      <c r="G43" s="12" t="str">
        <f t="shared" si="4"/>
        <v>26624.587</v>
      </c>
      <c r="H43" s="29">
        <f t="shared" si="5"/>
        <v>-24769</v>
      </c>
      <c r="I43" s="51" t="s">
        <v>119</v>
      </c>
      <c r="J43" s="52" t="s">
        <v>120</v>
      </c>
      <c r="K43" s="51">
        <v>-24769</v>
      </c>
      <c r="L43" s="51" t="s">
        <v>121</v>
      </c>
      <c r="M43" s="52" t="s">
        <v>71</v>
      </c>
      <c r="N43" s="52"/>
      <c r="O43" s="53" t="s">
        <v>114</v>
      </c>
      <c r="P43" s="53" t="s">
        <v>115</v>
      </c>
    </row>
    <row r="44" spans="1:16" ht="12.75" customHeight="1" thickBot="1" x14ac:dyDescent="0.25">
      <c r="A44" s="29" t="str">
        <f t="shared" si="0"/>
        <v> CPRI 25.25 </v>
      </c>
      <c r="B44" s="15" t="str">
        <f t="shared" si="1"/>
        <v>I</v>
      </c>
      <c r="C44" s="29">
        <f t="shared" si="2"/>
        <v>27723.607</v>
      </c>
      <c r="D44" s="12" t="str">
        <f t="shared" si="3"/>
        <v>vis</v>
      </c>
      <c r="E44" s="50">
        <f>VLOOKUP(C44,Active!C$21:E$973,3,FALSE)</f>
        <v>-7289.9968871410583</v>
      </c>
      <c r="F44" s="15" t="s">
        <v>65</v>
      </c>
      <c r="G44" s="12" t="str">
        <f t="shared" si="4"/>
        <v>27723.607</v>
      </c>
      <c r="H44" s="29">
        <f t="shared" si="5"/>
        <v>-23717</v>
      </c>
      <c r="I44" s="51" t="s">
        <v>122</v>
      </c>
      <c r="J44" s="52" t="s">
        <v>123</v>
      </c>
      <c r="K44" s="51">
        <v>-23717</v>
      </c>
      <c r="L44" s="51" t="s">
        <v>113</v>
      </c>
      <c r="M44" s="52" t="s">
        <v>71</v>
      </c>
      <c r="N44" s="52"/>
      <c r="O44" s="53" t="s">
        <v>124</v>
      </c>
      <c r="P44" s="53" t="s">
        <v>125</v>
      </c>
    </row>
    <row r="45" spans="1:16" ht="12.75" customHeight="1" thickBot="1" x14ac:dyDescent="0.25">
      <c r="A45" s="29" t="str">
        <f t="shared" si="0"/>
        <v> IODE 4.1.46 </v>
      </c>
      <c r="B45" s="15" t="str">
        <f t="shared" si="1"/>
        <v>I</v>
      </c>
      <c r="C45" s="29">
        <f t="shared" si="2"/>
        <v>30612.202000000001</v>
      </c>
      <c r="D45" s="12" t="str">
        <f t="shared" si="3"/>
        <v>vis</v>
      </c>
      <c r="E45" s="50">
        <f>VLOOKUP(C45,Active!C$21:E$973,3,FALSE)</f>
        <v>-4524.994189712861</v>
      </c>
      <c r="F45" s="15" t="s">
        <v>65</v>
      </c>
      <c r="G45" s="12" t="str">
        <f t="shared" si="4"/>
        <v>30612.202</v>
      </c>
      <c r="H45" s="29">
        <f t="shared" si="5"/>
        <v>-20952</v>
      </c>
      <c r="I45" s="51" t="s">
        <v>126</v>
      </c>
      <c r="J45" s="52" t="s">
        <v>127</v>
      </c>
      <c r="K45" s="51">
        <v>-20952</v>
      </c>
      <c r="L45" s="51" t="s">
        <v>128</v>
      </c>
      <c r="M45" s="52" t="s">
        <v>71</v>
      </c>
      <c r="N45" s="52"/>
      <c r="O45" s="53" t="s">
        <v>104</v>
      </c>
      <c r="P45" s="53" t="s">
        <v>105</v>
      </c>
    </row>
    <row r="46" spans="1:16" ht="12.75" customHeight="1" thickBot="1" x14ac:dyDescent="0.25">
      <c r="A46" s="29" t="str">
        <f t="shared" si="0"/>
        <v> IKRI 3.73 </v>
      </c>
      <c r="B46" s="15" t="str">
        <f t="shared" si="1"/>
        <v>I</v>
      </c>
      <c r="C46" s="29">
        <f t="shared" si="2"/>
        <v>30637.289400000001</v>
      </c>
      <c r="D46" s="12" t="str">
        <f t="shared" si="3"/>
        <v>vis</v>
      </c>
      <c r="E46" s="50">
        <f>VLOOKUP(C46,Active!C$21:E$973,3,FALSE)</f>
        <v>-4500.9801868251379</v>
      </c>
      <c r="F46" s="15" t="s">
        <v>65</v>
      </c>
      <c r="G46" s="12" t="str">
        <f t="shared" si="4"/>
        <v>30637.2894</v>
      </c>
      <c r="H46" s="29">
        <f t="shared" si="5"/>
        <v>-20928</v>
      </c>
      <c r="I46" s="51" t="s">
        <v>129</v>
      </c>
      <c r="J46" s="52" t="s">
        <v>130</v>
      </c>
      <c r="K46" s="51">
        <v>-20928</v>
      </c>
      <c r="L46" s="51" t="s">
        <v>131</v>
      </c>
      <c r="M46" s="52" t="s">
        <v>67</v>
      </c>
      <c r="N46" s="52"/>
      <c r="O46" s="53" t="s">
        <v>132</v>
      </c>
      <c r="P46" s="53" t="s">
        <v>133</v>
      </c>
    </row>
    <row r="47" spans="1:16" ht="12.75" customHeight="1" thickBot="1" x14ac:dyDescent="0.25">
      <c r="A47" s="29" t="str">
        <f t="shared" si="0"/>
        <v> IKRI 3.73 </v>
      </c>
      <c r="B47" s="15" t="str">
        <f t="shared" si="1"/>
        <v>I</v>
      </c>
      <c r="C47" s="29">
        <f t="shared" si="2"/>
        <v>31000.835999999999</v>
      </c>
      <c r="D47" s="12" t="str">
        <f t="shared" si="3"/>
        <v>vis</v>
      </c>
      <c r="E47" s="50">
        <f>VLOOKUP(C47,Active!C$21:E$973,3,FALSE)</f>
        <v>-4152.9884020159679</v>
      </c>
      <c r="F47" s="15" t="s">
        <v>65</v>
      </c>
      <c r="G47" s="12" t="str">
        <f t="shared" si="4"/>
        <v>31000.836</v>
      </c>
      <c r="H47" s="29">
        <f t="shared" si="5"/>
        <v>-20580</v>
      </c>
      <c r="I47" s="51" t="s">
        <v>134</v>
      </c>
      <c r="J47" s="52" t="s">
        <v>135</v>
      </c>
      <c r="K47" s="51">
        <v>-20580</v>
      </c>
      <c r="L47" s="51" t="s">
        <v>136</v>
      </c>
      <c r="M47" s="52" t="s">
        <v>67</v>
      </c>
      <c r="N47" s="52"/>
      <c r="O47" s="53" t="s">
        <v>99</v>
      </c>
      <c r="P47" s="53" t="s">
        <v>133</v>
      </c>
    </row>
    <row r="48" spans="1:16" ht="12.75" customHeight="1" thickBot="1" x14ac:dyDescent="0.25">
      <c r="A48" s="29" t="str">
        <f t="shared" si="0"/>
        <v> SAC 28.106 </v>
      </c>
      <c r="B48" s="15" t="str">
        <f t="shared" si="1"/>
        <v>I</v>
      </c>
      <c r="C48" s="29">
        <f t="shared" si="2"/>
        <v>34239.389000000003</v>
      </c>
      <c r="D48" s="12" t="str">
        <f t="shared" si="3"/>
        <v>vis</v>
      </c>
      <c r="E48" s="50">
        <f>VLOOKUP(C48,Active!C$21:E$973,3,FALSE)</f>
        <v>-1053.0011138138532</v>
      </c>
      <c r="F48" s="15" t="s">
        <v>65</v>
      </c>
      <c r="G48" s="12" t="str">
        <f t="shared" si="4"/>
        <v>34239.389</v>
      </c>
      <c r="H48" s="29">
        <f t="shared" si="5"/>
        <v>-17480</v>
      </c>
      <c r="I48" s="51" t="s">
        <v>137</v>
      </c>
      <c r="J48" s="52" t="s">
        <v>138</v>
      </c>
      <c r="K48" s="51">
        <v>-17480</v>
      </c>
      <c r="L48" s="51" t="s">
        <v>113</v>
      </c>
      <c r="M48" s="52" t="s">
        <v>71</v>
      </c>
      <c r="N48" s="52"/>
      <c r="O48" s="53" t="s">
        <v>139</v>
      </c>
      <c r="P48" s="53" t="s">
        <v>140</v>
      </c>
    </row>
    <row r="49" spans="1:16" ht="12.75" customHeight="1" thickBot="1" x14ac:dyDescent="0.25">
      <c r="A49" s="29" t="str">
        <f t="shared" si="0"/>
        <v> AC 175.18 </v>
      </c>
      <c r="B49" s="15" t="str">
        <f t="shared" si="1"/>
        <v>I</v>
      </c>
      <c r="C49" s="29">
        <f t="shared" si="2"/>
        <v>35339.451000000001</v>
      </c>
      <c r="D49" s="12" t="str">
        <f t="shared" si="3"/>
        <v>vis</v>
      </c>
      <c r="E49" s="50">
        <f>VLOOKUP(C49,Active!C$21:E$973,3,FALSE)</f>
        <v>-6.700495872866045E-3</v>
      </c>
      <c r="F49" s="15" t="s">
        <v>65</v>
      </c>
      <c r="G49" s="12" t="str">
        <f t="shared" si="4"/>
        <v>35339.451</v>
      </c>
      <c r="H49" s="29">
        <f t="shared" si="5"/>
        <v>-16427</v>
      </c>
      <c r="I49" s="51" t="s">
        <v>141</v>
      </c>
      <c r="J49" s="52" t="s">
        <v>142</v>
      </c>
      <c r="K49" s="51">
        <v>-16427</v>
      </c>
      <c r="L49" s="51" t="s">
        <v>143</v>
      </c>
      <c r="M49" s="52" t="s">
        <v>71</v>
      </c>
      <c r="N49" s="52"/>
      <c r="O49" s="53" t="s">
        <v>144</v>
      </c>
      <c r="P49" s="53" t="s">
        <v>145</v>
      </c>
    </row>
    <row r="50" spans="1:16" ht="12.75" customHeight="1" thickBot="1" x14ac:dyDescent="0.25">
      <c r="A50" s="29" t="str">
        <f t="shared" si="0"/>
        <v> SAC 28.106 </v>
      </c>
      <c r="B50" s="15" t="str">
        <f t="shared" si="1"/>
        <v>I</v>
      </c>
      <c r="C50" s="29">
        <f t="shared" si="2"/>
        <v>35341.546000000002</v>
      </c>
      <c r="D50" s="12" t="str">
        <f t="shared" si="3"/>
        <v>vis</v>
      </c>
      <c r="E50" s="50">
        <f>VLOOKUP(C50,Active!C$21:E$973,3,FALSE)</f>
        <v>1.9986621981411066</v>
      </c>
      <c r="F50" s="15" t="s">
        <v>65</v>
      </c>
      <c r="G50" s="12" t="str">
        <f t="shared" si="4"/>
        <v>35341.546</v>
      </c>
      <c r="H50" s="29">
        <f t="shared" si="5"/>
        <v>-16425</v>
      </c>
      <c r="I50" s="51" t="s">
        <v>146</v>
      </c>
      <c r="J50" s="52" t="s">
        <v>147</v>
      </c>
      <c r="K50" s="51">
        <v>-16425</v>
      </c>
      <c r="L50" s="51" t="s">
        <v>113</v>
      </c>
      <c r="M50" s="52" t="s">
        <v>71</v>
      </c>
      <c r="N50" s="52"/>
      <c r="O50" s="53" t="s">
        <v>139</v>
      </c>
      <c r="P50" s="53" t="s">
        <v>140</v>
      </c>
    </row>
    <row r="51" spans="1:16" ht="12.75" customHeight="1" thickBot="1" x14ac:dyDescent="0.25">
      <c r="A51" s="29" t="str">
        <f t="shared" si="0"/>
        <v> AC 175.18 </v>
      </c>
      <c r="B51" s="15" t="str">
        <f t="shared" si="1"/>
        <v>I</v>
      </c>
      <c r="C51" s="29">
        <f t="shared" si="2"/>
        <v>35691.498</v>
      </c>
      <c r="D51" s="12" t="str">
        <f t="shared" si="3"/>
        <v>vis</v>
      </c>
      <c r="E51" s="50">
        <f>VLOOKUP(C51,Active!C$21:E$973,3,FALSE)</f>
        <v>336.97750968987509</v>
      </c>
      <c r="F51" s="15" t="s">
        <v>65</v>
      </c>
      <c r="G51" s="12" t="str">
        <f t="shared" si="4"/>
        <v>35691.498</v>
      </c>
      <c r="H51" s="29">
        <f t="shared" si="5"/>
        <v>-16090</v>
      </c>
      <c r="I51" s="51" t="s">
        <v>153</v>
      </c>
      <c r="J51" s="52" t="s">
        <v>154</v>
      </c>
      <c r="K51" s="51">
        <v>-16090</v>
      </c>
      <c r="L51" s="51" t="s">
        <v>155</v>
      </c>
      <c r="M51" s="52" t="s">
        <v>71</v>
      </c>
      <c r="N51" s="52"/>
      <c r="O51" s="53" t="s">
        <v>144</v>
      </c>
      <c r="P51" s="53" t="s">
        <v>145</v>
      </c>
    </row>
    <row r="52" spans="1:16" ht="12.75" customHeight="1" thickBot="1" x14ac:dyDescent="0.25">
      <c r="A52" s="29" t="str">
        <f t="shared" si="0"/>
        <v> AC 200.15 </v>
      </c>
      <c r="B52" s="15" t="str">
        <f t="shared" si="1"/>
        <v>I</v>
      </c>
      <c r="C52" s="29">
        <f t="shared" si="2"/>
        <v>36436.402000000002</v>
      </c>
      <c r="D52" s="12" t="str">
        <f t="shared" si="3"/>
        <v>vis</v>
      </c>
      <c r="E52" s="50">
        <f>VLOOKUP(C52,Active!C$21:E$973,3,FALSE)</f>
        <v>1050.0098210125284</v>
      </c>
      <c r="F52" s="15" t="s">
        <v>65</v>
      </c>
      <c r="G52" s="12" t="str">
        <f t="shared" si="4"/>
        <v>36436.402</v>
      </c>
      <c r="H52" s="29">
        <f t="shared" si="5"/>
        <v>-15377</v>
      </c>
      <c r="I52" s="51" t="s">
        <v>163</v>
      </c>
      <c r="J52" s="52" t="s">
        <v>164</v>
      </c>
      <c r="K52" s="51">
        <v>-15377</v>
      </c>
      <c r="L52" s="51" t="s">
        <v>165</v>
      </c>
      <c r="M52" s="52" t="s">
        <v>71</v>
      </c>
      <c r="N52" s="52"/>
      <c r="O52" s="53" t="s">
        <v>144</v>
      </c>
      <c r="P52" s="53" t="s">
        <v>166</v>
      </c>
    </row>
    <row r="53" spans="1:16" ht="12.75" customHeight="1" thickBot="1" x14ac:dyDescent="0.25">
      <c r="A53" s="29" t="str">
        <f t="shared" si="0"/>
        <v>VSB 47 </v>
      </c>
      <c r="B53" s="15" t="str">
        <f t="shared" si="1"/>
        <v>I</v>
      </c>
      <c r="C53" s="29">
        <f t="shared" si="2"/>
        <v>51434.074000000001</v>
      </c>
      <c r="D53" s="12" t="str">
        <f t="shared" si="3"/>
        <v>vis</v>
      </c>
      <c r="E53" s="50">
        <f>VLOOKUP(C53,Active!C$21:E$973,3,FALSE)</f>
        <v>15405.986873920026</v>
      </c>
      <c r="F53" s="15" t="s">
        <v>65</v>
      </c>
      <c r="G53" s="12" t="str">
        <f t="shared" si="4"/>
        <v>51434.074</v>
      </c>
      <c r="H53" s="29">
        <f t="shared" si="5"/>
        <v>-1021</v>
      </c>
      <c r="I53" s="51" t="s">
        <v>185</v>
      </c>
      <c r="J53" s="52" t="s">
        <v>186</v>
      </c>
      <c r="K53" s="51">
        <v>-1021</v>
      </c>
      <c r="L53" s="51" t="s">
        <v>66</v>
      </c>
      <c r="M53" s="52" t="s">
        <v>187</v>
      </c>
      <c r="N53" s="52" t="s">
        <v>65</v>
      </c>
      <c r="O53" s="53" t="s">
        <v>188</v>
      </c>
      <c r="P53" s="54" t="s">
        <v>189</v>
      </c>
    </row>
    <row r="54" spans="1:16" ht="12.75" customHeight="1" thickBot="1" x14ac:dyDescent="0.25">
      <c r="A54" s="29" t="str">
        <f t="shared" si="0"/>
        <v>VSB 42 </v>
      </c>
      <c r="B54" s="15" t="str">
        <f t="shared" si="1"/>
        <v>I</v>
      </c>
      <c r="C54" s="29">
        <f t="shared" si="2"/>
        <v>52862.177300000003</v>
      </c>
      <c r="D54" s="12" t="str">
        <f t="shared" si="3"/>
        <v>vis</v>
      </c>
      <c r="E54" s="50">
        <f>VLOOKUP(C54,Active!C$21:E$973,3,FALSE)</f>
        <v>16772.986912591463</v>
      </c>
      <c r="F54" s="15" t="s">
        <v>65</v>
      </c>
      <c r="G54" s="12" t="str">
        <f t="shared" si="4"/>
        <v>52862.1773</v>
      </c>
      <c r="H54" s="29">
        <f t="shared" si="5"/>
        <v>346</v>
      </c>
      <c r="I54" s="51" t="s">
        <v>190</v>
      </c>
      <c r="J54" s="52" t="s">
        <v>191</v>
      </c>
      <c r="K54" s="51">
        <v>346</v>
      </c>
      <c r="L54" s="51" t="s">
        <v>192</v>
      </c>
      <c r="M54" s="52" t="s">
        <v>193</v>
      </c>
      <c r="N54" s="52" t="s">
        <v>194</v>
      </c>
      <c r="O54" s="53" t="s">
        <v>188</v>
      </c>
      <c r="P54" s="54" t="s">
        <v>195</v>
      </c>
    </row>
    <row r="55" spans="1:16" ht="12.75" customHeight="1" thickBot="1" x14ac:dyDescent="0.25">
      <c r="A55" s="29" t="str">
        <f t="shared" si="0"/>
        <v>BAVM 171 </v>
      </c>
      <c r="B55" s="15" t="str">
        <f t="shared" si="1"/>
        <v>I</v>
      </c>
      <c r="C55" s="29">
        <f t="shared" si="2"/>
        <v>52913.383999999998</v>
      </c>
      <c r="D55" s="12" t="str">
        <f t="shared" si="3"/>
        <v>vis</v>
      </c>
      <c r="E55" s="50">
        <f>VLOOKUP(C55,Active!C$21:E$973,3,FALSE)</f>
        <v>16822.002667180244</v>
      </c>
      <c r="F55" s="15" t="s">
        <v>65</v>
      </c>
      <c r="G55" s="12" t="str">
        <f t="shared" si="4"/>
        <v>52913.384</v>
      </c>
      <c r="H55" s="29">
        <f t="shared" si="5"/>
        <v>395</v>
      </c>
      <c r="I55" s="51" t="s">
        <v>196</v>
      </c>
      <c r="J55" s="52" t="s">
        <v>197</v>
      </c>
      <c r="K55" s="51">
        <v>395</v>
      </c>
      <c r="L55" s="51" t="s">
        <v>198</v>
      </c>
      <c r="M55" s="52" t="s">
        <v>71</v>
      </c>
      <c r="N55" s="52"/>
      <c r="O55" s="53" t="s">
        <v>199</v>
      </c>
      <c r="P55" s="54" t="s">
        <v>200</v>
      </c>
    </row>
    <row r="56" spans="1:16" ht="12.75" customHeight="1" thickBot="1" x14ac:dyDescent="0.25">
      <c r="A56" s="29" t="str">
        <f t="shared" si="0"/>
        <v>VSB 50 </v>
      </c>
      <c r="B56" s="15" t="str">
        <f t="shared" si="1"/>
        <v>I</v>
      </c>
      <c r="C56" s="29">
        <f t="shared" si="2"/>
        <v>55080.079400000002</v>
      </c>
      <c r="D56" s="12" t="str">
        <f t="shared" si="3"/>
        <v>vis</v>
      </c>
      <c r="E56" s="50">
        <f>VLOOKUP(C56,Active!C$21:E$973,3,FALSE)</f>
        <v>18895.993180043861</v>
      </c>
      <c r="F56" s="15" t="s">
        <v>65</v>
      </c>
      <c r="G56" s="12" t="str">
        <f t="shared" si="4"/>
        <v>55080.0794</v>
      </c>
      <c r="H56" s="29">
        <f t="shared" si="5"/>
        <v>2469</v>
      </c>
      <c r="I56" s="51" t="s">
        <v>225</v>
      </c>
      <c r="J56" s="52" t="s">
        <v>226</v>
      </c>
      <c r="K56" s="51" t="s">
        <v>227</v>
      </c>
      <c r="L56" s="51" t="s">
        <v>228</v>
      </c>
      <c r="M56" s="52" t="s">
        <v>187</v>
      </c>
      <c r="N56" s="52" t="s">
        <v>229</v>
      </c>
      <c r="O56" s="53" t="s">
        <v>188</v>
      </c>
      <c r="P56" s="54" t="s">
        <v>230</v>
      </c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</sheetData>
  <phoneticPr fontId="8" type="noConversion"/>
  <hyperlinks>
    <hyperlink ref="A3" r:id="rId1"/>
    <hyperlink ref="P15" r:id="rId2" display="http://www.konkoly.hu/cgi-bin/IBVS?35"/>
    <hyperlink ref="P53" r:id="rId3" display="http://vsolj.cetus-net.org/no47.pdf"/>
    <hyperlink ref="P54" r:id="rId4" display="http://vsolj.cetus-net.org/no42.pdf"/>
    <hyperlink ref="P55" r:id="rId5" display="http://www.bav-astro.de/sfs/BAVM_link.php?BAVMnr=171"/>
    <hyperlink ref="P20" r:id="rId6" display="http://www.konkoly.hu/cgi-bin/IBVS?5843"/>
    <hyperlink ref="P21" r:id="rId7" display="http://www.konkoly.hu/cgi-bin/IBVS?5843"/>
    <hyperlink ref="P22" r:id="rId8" display="http://www.bav-astro.de/sfs/BAVM_link.php?BAVMnr=174"/>
    <hyperlink ref="P23" r:id="rId9" display="http://www.konkoly.hu/cgi-bin/IBVS?5843"/>
    <hyperlink ref="P24" r:id="rId10" display="http://www.konkoly.hu/cgi-bin/IBVS?6007"/>
    <hyperlink ref="P56" r:id="rId11" display="http://vsolj.cetus-net.org/vsoljno50.pdf"/>
    <hyperlink ref="P25" r:id="rId12" display="http://www.konkoly.hu/cgi-bin/IBVS?6011"/>
    <hyperlink ref="P26" r:id="rId13" display="http://www.konkoly.hu/cgi-bin/IBVS?6114"/>
    <hyperlink ref="P27" r:id="rId14" display="http://www.konkoly.hu/cgi-bin/IBVS?6114"/>
    <hyperlink ref="P28" r:id="rId15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2024-01-11T06:39:21Z</dcterms:modified>
</cp:coreProperties>
</file>